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65" yWindow="2070" windowWidth="9135" windowHeight="4650" tabRatio="876" activeTab="5"/>
  </bookViews>
  <sheets>
    <sheet name="Summary" sheetId="1" r:id="rId1"/>
    <sheet name="Envelope" sheetId="2" r:id="rId2"/>
    <sheet name="HVAC" sheetId="3" r:id="rId3"/>
    <sheet name="SHW" sheetId="4" r:id="rId4"/>
    <sheet name="Lighting" sheetId="5" r:id="rId5"/>
    <sheet name="Renewables" sheetId="6" r:id="rId6"/>
    <sheet name="Reference" sheetId="7" state="hidden" r:id="rId7"/>
  </sheets>
  <definedNames>
    <definedName name="_xlfn.IFERROR" hidden="1">#NAME?</definedName>
    <definedName name="ac_ac">'Reference'!$H$6:$H$10</definedName>
    <definedName name="ac_ac_full">'Reference'!$H$6:$J$10</definedName>
    <definedName name="ac_cm">'Reference'!$H$18:$H$21</definedName>
    <definedName name="ac_cm_full">'Reference'!$H$18:$J$21</definedName>
    <definedName name="ac_wec">'Reference'!$H$12:$H$15</definedName>
    <definedName name="ac_wec_full">'Reference'!$H$12:$J$15</definedName>
    <definedName name="building_type">'Summary'!$F$16</definedName>
    <definedName name="energy_recovery">'Reference'!$I$35:$N$36</definedName>
    <definedName name="fan_power">'Reference'!$G$40:$H$48</definedName>
    <definedName name="floor">'Reference'!$B$17:$D$18</definedName>
    <definedName name="floor_type">'Reference'!$B$17:$B$18</definedName>
    <definedName name="frame">'Reference'!$B$25:$C$28</definedName>
    <definedName name="frame_type">'Reference'!$B$25:$B$28</definedName>
    <definedName name="int_light">'Reference'!$U$5:$X$137</definedName>
    <definedName name="int_light_space">'Reference'!$U$5:$U$137</definedName>
    <definedName name="PF">'Reference'!$B$30:$C$32</definedName>
    <definedName name="PF_type">'Reference'!$B$30:$B$32</definedName>
    <definedName name="_xlnm.Print_Area" localSheetId="1">'Envelope'!$A$1:$N$28</definedName>
    <definedName name="_xlnm.Print_Area" localSheetId="2">'HVAC'!$A$1:$P$57</definedName>
    <definedName name="_xlnm.Print_Area" localSheetId="4">'Lighting'!$A$1:$O$59</definedName>
    <definedName name="_xlnm.Print_Area" localSheetId="5">'Renewables'!$A$1:$N$17</definedName>
    <definedName name="_xlnm.Print_Area" localSheetId="3">'SHW'!$A$1:$N$24</definedName>
    <definedName name="_xlnm.Print_Area" localSheetId="0">'Summary'!$A$1:$O$24</definedName>
    <definedName name="roof">'Reference'!$B$6:$D$8</definedName>
    <definedName name="roof_type">'Reference'!$B$6:$B$8</definedName>
    <definedName name="shw_efficiency">'Reference'!$P$5:$R$7</definedName>
    <definedName name="slab">'Reference'!$B$20:$D$21</definedName>
    <definedName name="slab_type">'Reference'!$B$20:$B$21</definedName>
    <definedName name="test" localSheetId="3">'SHW'!$P$9:$Q$11</definedName>
    <definedName name="test">'HVAC'!$R$9:$S$11</definedName>
    <definedName name="ttw_ac">'Reference'!$H$11</definedName>
    <definedName name="wall_above">'Reference'!$B$10:$D$13</definedName>
    <definedName name="wall_above_type">'Reference'!$B$10:$B$13</definedName>
  </definedNames>
  <calcPr fullCalcOnLoad="1"/>
</workbook>
</file>

<file path=xl/sharedStrings.xml><?xml version="1.0" encoding="utf-8"?>
<sst xmlns="http://schemas.openxmlformats.org/spreadsheetml/2006/main" count="761" uniqueCount="410">
  <si>
    <t>Project ID</t>
  </si>
  <si>
    <t>Location</t>
  </si>
  <si>
    <t>Person Responsible</t>
  </si>
  <si>
    <t>Company</t>
  </si>
  <si>
    <t>Date of Issue</t>
  </si>
  <si>
    <t>Included?</t>
  </si>
  <si>
    <t>Project Info</t>
  </si>
  <si>
    <t>1 Pearl Compliance</t>
  </si>
  <si>
    <t>Report a Template Bug :</t>
  </si>
  <si>
    <t>Input Cells</t>
  </si>
  <si>
    <t>Energy Efficient Appliances Calculator</t>
  </si>
  <si>
    <t>Lighting Loads (W/m²)</t>
  </si>
  <si>
    <t>Pass / Fail?</t>
  </si>
  <si>
    <t>Overall Pass / Fail for Internal Lighting</t>
  </si>
  <si>
    <t>Walkways &lt;3m Wide</t>
  </si>
  <si>
    <t>Parking Lots and Drives</t>
  </si>
  <si>
    <t>Main Entrance Door</t>
  </si>
  <si>
    <t>Other Entrance Doors</t>
  </si>
  <si>
    <t>Canopies and Overhangs</t>
  </si>
  <si>
    <t>Building Façade</t>
  </si>
  <si>
    <t>W/linear meter</t>
  </si>
  <si>
    <t>W/m²</t>
  </si>
  <si>
    <t>W/linear m of door width</t>
  </si>
  <si>
    <t>W/m² of uncovered area</t>
  </si>
  <si>
    <t>Lighting Loads</t>
  </si>
  <si>
    <t>Overall Pass / Fail for External Lighting</t>
  </si>
  <si>
    <t>Renewable Energy</t>
  </si>
  <si>
    <t>Summary</t>
  </si>
  <si>
    <t>Lighting</t>
  </si>
  <si>
    <t>Next</t>
  </si>
  <si>
    <t>Previous</t>
  </si>
  <si>
    <t>Walkways ≥3m Wide</t>
  </si>
  <si>
    <t>No</t>
  </si>
  <si>
    <t>Area Type</t>
  </si>
  <si>
    <t>Units</t>
  </si>
  <si>
    <t>Target Requirement</t>
  </si>
  <si>
    <t>Total Yearly Hot Water Usage Generated from Renewable Sources (kWh)</t>
  </si>
  <si>
    <t>Estidama Buildings Energy Prescriptive Pathway v1.0</t>
  </si>
  <si>
    <t>Building Envelope</t>
  </si>
  <si>
    <t>Overall Pass / Fail for Building Envelope</t>
  </si>
  <si>
    <t>Envelope Element</t>
  </si>
  <si>
    <t>Construction Type</t>
  </si>
  <si>
    <t>Insulation entirely above deck</t>
  </si>
  <si>
    <t>Metal buildings</t>
  </si>
  <si>
    <t>Project Name</t>
  </si>
  <si>
    <t>PQP</t>
  </si>
  <si>
    <t>Building Type</t>
  </si>
  <si>
    <t>General</t>
  </si>
  <si>
    <t>"Residential"</t>
  </si>
  <si>
    <t>Roof:</t>
  </si>
  <si>
    <t>Attic and other</t>
  </si>
  <si>
    <t>Wall, Above Grade:</t>
  </si>
  <si>
    <t>Mass</t>
  </si>
  <si>
    <t>Metal framed</t>
  </si>
  <si>
    <t>Wood framed and other</t>
  </si>
  <si>
    <t>Wall, Below Grade C-factor, W/m².K:</t>
  </si>
  <si>
    <t>Below grade wall</t>
  </si>
  <si>
    <t>Floors U-value, W/m2.K:</t>
  </si>
  <si>
    <t>Joist/Framing</t>
  </si>
  <si>
    <t>Slab-on-Grade Floors F-factor, W/m.K:</t>
  </si>
  <si>
    <t>Unheated slabs (F)</t>
  </si>
  <si>
    <t>Heated slabs (F)</t>
  </si>
  <si>
    <t>Wall, above grade
U-value, W/m².K</t>
  </si>
  <si>
    <t>Roof
U-value, W/m².K</t>
  </si>
  <si>
    <t>Design Value Achieved</t>
  </si>
  <si>
    <t>Wall, Below Grade
C-factor, W/m².K</t>
  </si>
  <si>
    <t>Slab-on-Grade Floor
F-factor, W/m.K</t>
  </si>
  <si>
    <t>Opaque Elements</t>
  </si>
  <si>
    <t>Fenestration</t>
  </si>
  <si>
    <t>Percentage of above grade wall area</t>
  </si>
  <si>
    <t>Vertical Glazing
U-value, W/m².K</t>
  </si>
  <si>
    <t>Curtain wall/storefront</t>
  </si>
  <si>
    <t>Entrance door</t>
  </si>
  <si>
    <t>All other</t>
  </si>
  <si>
    <t>SHGC all frame types</t>
  </si>
  <si>
    <t>PF &lt; 0.25</t>
  </si>
  <si>
    <t>0.25 ≤ PF &lt; 0.50</t>
  </si>
  <si>
    <t>PF ≥ 0.50</t>
  </si>
  <si>
    <t>Vertical Glazing (Max 30% above grade wall area)</t>
  </si>
  <si>
    <t>Skylight (Max 3% roof area)</t>
  </si>
  <si>
    <t>U-value (W/m².K)</t>
  </si>
  <si>
    <t>SHGC</t>
  </si>
  <si>
    <t>Non-metal</t>
  </si>
  <si>
    <t>Vertical Glazing
SHGC</t>
  </si>
  <si>
    <t>Vertical Glazing
Area Ratio</t>
  </si>
  <si>
    <t>Skylight Glazing
Area Ratio</t>
  </si>
  <si>
    <t>Skylight Glazing
U-value, W/m².K</t>
  </si>
  <si>
    <t>Skylight Glazing
SHGC</t>
  </si>
  <si>
    <t>Floor
U-value, W/m².K</t>
  </si>
  <si>
    <t>Percentage of roof area</t>
  </si>
  <si>
    <t>-</t>
  </si>
  <si>
    <t>Infiltration</t>
  </si>
  <si>
    <t>Building Air Leakage Rate, l/s/m²</t>
  </si>
  <si>
    <t>@75Pa Test Pressure</t>
  </si>
  <si>
    <t>HVAC Systems &amp; Controls</t>
  </si>
  <si>
    <t>Envelope</t>
  </si>
  <si>
    <t>HVAC</t>
  </si>
  <si>
    <t>Renewables</t>
  </si>
  <si>
    <t>PBRS.PrescEnergy@upc.gov.ae</t>
  </si>
  <si>
    <t>This tool provides a simple means of demonstrating compliance with the Prescriptive requirements of the Pearl Building Rating System, RE-R1: Minimum Energy Performance credit.
This tool forms part of the submittal requirements for the PBRS RE-R1 Prescriptive Method.</t>
  </si>
  <si>
    <t>Building Project Overall Status:</t>
  </si>
  <si>
    <t>System Efficiencies</t>
  </si>
  <si>
    <t>Interior Power Densities</t>
  </si>
  <si>
    <t xml:space="preserve">Active Storage </t>
  </si>
  <si>
    <t xml:space="preserve">Atrium – First Three Floors </t>
  </si>
  <si>
    <t xml:space="preserve">Atrium – Each Additional Floor </t>
  </si>
  <si>
    <t>AUTOMOTIVE FACILITY</t>
  </si>
  <si>
    <t xml:space="preserve">Classroom/lecture/training </t>
  </si>
  <si>
    <t xml:space="preserve">Conference/Meeting/Multipurpose </t>
  </si>
  <si>
    <t xml:space="preserve">Corridor/Transition </t>
  </si>
  <si>
    <t xml:space="preserve">Electrical/Mechanical </t>
  </si>
  <si>
    <t xml:space="preserve">Food Preparation </t>
  </si>
  <si>
    <t xml:space="preserve">Inactive Storage </t>
  </si>
  <si>
    <t xml:space="preserve">Lobby </t>
  </si>
  <si>
    <t xml:space="preserve">Restroom </t>
  </si>
  <si>
    <t xml:space="preserve">Stairway </t>
  </si>
  <si>
    <t xml:space="preserve">CONVENTION CENTER </t>
  </si>
  <si>
    <t xml:space="preserve">Exhibit Space </t>
  </si>
  <si>
    <t xml:space="preserve">Audience/Seating Area </t>
  </si>
  <si>
    <t xml:space="preserve">COURTHOUSE </t>
  </si>
  <si>
    <t xml:space="preserve">Courtroom </t>
  </si>
  <si>
    <t xml:space="preserve">Confinement Cells </t>
  </si>
  <si>
    <t xml:space="preserve">Judges Chambers </t>
  </si>
  <si>
    <t xml:space="preserve">Dressing/Locker/Fitting Room </t>
  </si>
  <si>
    <t xml:space="preserve">DINING: BAR LOUNGE/LEISURE </t>
  </si>
  <si>
    <t xml:space="preserve">Lounge/Leisure Dining </t>
  </si>
  <si>
    <t xml:space="preserve">DINING: CAFETERIA/FAST FOOD </t>
  </si>
  <si>
    <t xml:space="preserve">DINING: FAMILY </t>
  </si>
  <si>
    <t xml:space="preserve">Dining </t>
  </si>
  <si>
    <t xml:space="preserve">Kitchen </t>
  </si>
  <si>
    <t xml:space="preserve">DORMITORY </t>
  </si>
  <si>
    <t xml:space="preserve">Living Quarters </t>
  </si>
  <si>
    <t xml:space="preserve">Bedroom </t>
  </si>
  <si>
    <t xml:space="preserve">Study Hall </t>
  </si>
  <si>
    <t xml:space="preserve">EXERCISE CENTER </t>
  </si>
  <si>
    <t xml:space="preserve">Exercise Area </t>
  </si>
  <si>
    <t xml:space="preserve">Exercise Area/Gymnasium </t>
  </si>
  <si>
    <t xml:space="preserve">GYMNASIUM </t>
  </si>
  <si>
    <t xml:space="preserve">Playing Area </t>
  </si>
  <si>
    <t xml:space="preserve">HEALTHCARE CLINIC </t>
  </si>
  <si>
    <t xml:space="preserve">Corridors w/patient waiting, exam </t>
  </si>
  <si>
    <t xml:space="preserve">Exam/Treatment </t>
  </si>
  <si>
    <t xml:space="preserve">Emergency </t>
  </si>
  <si>
    <t xml:space="preserve">Public &amp; Staff Lounge </t>
  </si>
  <si>
    <t xml:space="preserve">Hospital/Medical supplies </t>
  </si>
  <si>
    <t xml:space="preserve">Hospital - Nursery </t>
  </si>
  <si>
    <t xml:space="preserve">Nurse station </t>
  </si>
  <si>
    <t xml:space="preserve">Physical therapy </t>
  </si>
  <si>
    <t xml:space="preserve">Patient Room </t>
  </si>
  <si>
    <t xml:space="preserve">Pharmacy </t>
  </si>
  <si>
    <t xml:space="preserve">Hospital/Radiology </t>
  </si>
  <si>
    <t xml:space="preserve">Operating Room </t>
  </si>
  <si>
    <t xml:space="preserve">Recovery </t>
  </si>
  <si>
    <t xml:space="preserve">Active storage </t>
  </si>
  <si>
    <t xml:space="preserve">Laundry-Washing </t>
  </si>
  <si>
    <t xml:space="preserve">HOTEL </t>
  </si>
  <si>
    <t xml:space="preserve">Dining Area </t>
  </si>
  <si>
    <t xml:space="preserve">Guest quarters </t>
  </si>
  <si>
    <t xml:space="preserve">Reception/Waiting </t>
  </si>
  <si>
    <t xml:space="preserve">LIBRARY </t>
  </si>
  <si>
    <t xml:space="preserve">Library-Audio Visual </t>
  </si>
  <si>
    <t xml:space="preserve">Stacks </t>
  </si>
  <si>
    <t xml:space="preserve">Whole Building </t>
  </si>
  <si>
    <t>Space by Space</t>
  </si>
  <si>
    <t/>
  </si>
  <si>
    <t xml:space="preserve">Card File &amp; Cataloguing </t>
  </si>
  <si>
    <t xml:space="preserve">Reading Area </t>
  </si>
  <si>
    <t xml:space="preserve">MANUFACTURING FACILITY </t>
  </si>
  <si>
    <t xml:space="preserve">MOTEL </t>
  </si>
  <si>
    <t xml:space="preserve">MOTION PICTURE THEATER </t>
  </si>
  <si>
    <t xml:space="preserve">MULTI-FAMILY </t>
  </si>
  <si>
    <t xml:space="preserve">MUSEUM </t>
  </si>
  <si>
    <t xml:space="preserve">General exhibition </t>
  </si>
  <si>
    <t xml:space="preserve">Restoration </t>
  </si>
  <si>
    <t xml:space="preserve">OFFICE </t>
  </si>
  <si>
    <t xml:space="preserve">Enclosed </t>
  </si>
  <si>
    <t xml:space="preserve">Open Plan </t>
  </si>
  <si>
    <t xml:space="preserve">PARKING GARAGE </t>
  </si>
  <si>
    <t xml:space="preserve">PENITENTIARY </t>
  </si>
  <si>
    <t xml:space="preserve">PERFORMING ARTS THEATER </t>
  </si>
  <si>
    <t xml:space="preserve">POLICE STATIONS </t>
  </si>
  <si>
    <t xml:space="preserve">FIRE STATIONS </t>
  </si>
  <si>
    <t xml:space="preserve">Fire Station Engine Room </t>
  </si>
  <si>
    <t xml:space="preserve">Sleeping Quarters </t>
  </si>
  <si>
    <t xml:space="preserve">Police Station Laboratory </t>
  </si>
  <si>
    <t xml:space="preserve">POST OFFICE/SF </t>
  </si>
  <si>
    <t xml:space="preserve">Sorting Area </t>
  </si>
  <si>
    <t xml:space="preserve">RELIGIOUS BUILDINGS </t>
  </si>
  <si>
    <t xml:space="preserve">Worship/Pulpit/Choir </t>
  </si>
  <si>
    <t xml:space="preserve">RETAIL </t>
  </si>
  <si>
    <t xml:space="preserve">Department Store Sales Area </t>
  </si>
  <si>
    <t xml:space="preserve">Specialty Store Sales Area </t>
  </si>
  <si>
    <t xml:space="preserve">Fine Merchandise Sales Area </t>
  </si>
  <si>
    <t xml:space="preserve">Supermarket Sales Area </t>
  </si>
  <si>
    <t xml:space="preserve">Personal Services Sales Area </t>
  </si>
  <si>
    <t xml:space="preserve">Mass Merchandising Sales Area </t>
  </si>
  <si>
    <t xml:space="preserve">Mall Concourse </t>
  </si>
  <si>
    <t xml:space="preserve">RETAIL: SPECIALTY </t>
  </si>
  <si>
    <t xml:space="preserve">RETAIL: SUPERMARKET </t>
  </si>
  <si>
    <t xml:space="preserve">SCHOOL/UNIVERSITY </t>
  </si>
  <si>
    <t xml:space="preserve">Classroom </t>
  </si>
  <si>
    <t xml:space="preserve">Audience </t>
  </si>
  <si>
    <t xml:space="preserve">Office </t>
  </si>
  <si>
    <t xml:space="preserve">Corridor </t>
  </si>
  <si>
    <t xml:space="preserve">Storage </t>
  </si>
  <si>
    <t xml:space="preserve">Laboratory </t>
  </si>
  <si>
    <t xml:space="preserve">TOWN HALL </t>
  </si>
  <si>
    <t xml:space="preserve">TRANSPORTATION </t>
  </si>
  <si>
    <t xml:space="preserve">Baggage Area </t>
  </si>
  <si>
    <t xml:space="preserve">Airport - Concourse </t>
  </si>
  <si>
    <t>Terminal - Ticket Counter</t>
  </si>
  <si>
    <t xml:space="preserve">SPORTS ARENA </t>
  </si>
  <si>
    <t xml:space="preserve">WAREHOUSE </t>
  </si>
  <si>
    <t xml:space="preserve">Fine Material </t>
  </si>
  <si>
    <t xml:space="preserve">Medium/Bulky Material </t>
  </si>
  <si>
    <t xml:space="preserve">WORKSHOP </t>
  </si>
  <si>
    <t>Building/Space Type</t>
  </si>
  <si>
    <t>Returned Values</t>
  </si>
  <si>
    <t>W/m² for each illuminated wall or surface</t>
  </si>
  <si>
    <t>Interior Lighting</t>
  </si>
  <si>
    <t>Exterior Lighting</t>
  </si>
  <si>
    <t>Stairways</t>
  </si>
  <si>
    <t>Outdoor Sales, Open Areas</t>
  </si>
  <si>
    <t>Outdoor Sales, Street Frontage</t>
  </si>
  <si>
    <t>Tradable Surfaces</t>
  </si>
  <si>
    <t>Tradable Surfaces Compliance</t>
  </si>
  <si>
    <t>Length/Area</t>
  </si>
  <si>
    <t>n/a</t>
  </si>
  <si>
    <t>Target Check</t>
  </si>
  <si>
    <t>Design Check</t>
  </si>
  <si>
    <t>Non-Tradable Surfaces</t>
  </si>
  <si>
    <t>Info Check</t>
  </si>
  <si>
    <t>Inclusion Check</t>
  </si>
  <si>
    <t>This section considers the overall performance of internal and external lighting systems.  Compliance is based upon achievement or improvement beyond the target values outlined in the Abu Dhabi International Energy Conservation Code.  Compliance can be demonstrated either for Building Type or on a Space-by-Space basis.  Calculation of the lighting power density (W/m²) may require separate calculation relating to lighting power and area of coverage.</t>
  </si>
  <si>
    <t>Automated teller machines and night depositories</t>
  </si>
  <si>
    <t>W per additional ATM per location</t>
  </si>
  <si>
    <t>W per location</t>
  </si>
  <si>
    <t>Inspection stations at guarded facilities</t>
  </si>
  <si>
    <t>Loading areas emergency service vehicles</t>
  </si>
  <si>
    <t>Drive-up windows at fast food restaurants</t>
  </si>
  <si>
    <t>Parking near 24-hour retail entrances</t>
  </si>
  <si>
    <t>W per drive-through</t>
  </si>
  <si>
    <t>W per main entry</t>
  </si>
  <si>
    <t>Total Building Predicted Load</t>
  </si>
  <si>
    <t>Total Gross Floor Area, m2</t>
  </si>
  <si>
    <t>Building Footprint, m2</t>
  </si>
  <si>
    <t>Equipment Type</t>
  </si>
  <si>
    <t>Size Category</t>
  </si>
  <si>
    <t>Subcategory or Rating Condition</t>
  </si>
  <si>
    <t>Minimum Efficiency</t>
  </si>
  <si>
    <t>Air conditioners,
Air cooled</t>
  </si>
  <si>
    <t>&lt; 19kW</t>
  </si>
  <si>
    <t>13.0 SEER</t>
  </si>
  <si>
    <t>3.81 SCoP</t>
  </si>
  <si>
    <t>&gt; 19kW
and &lt; 40kW</t>
  </si>
  <si>
    <t>11.2 EER</t>
  </si>
  <si>
    <t>3.28 CoP</t>
  </si>
  <si>
    <t>&gt; 40kW
and &lt; 70kW</t>
  </si>
  <si>
    <t>11.0 EER</t>
  </si>
  <si>
    <t>3.22 CoP</t>
  </si>
  <si>
    <t>&gt; 70kW
and &lt; 223kW</t>
  </si>
  <si>
    <t>10.0 EER</t>
  </si>
  <si>
    <t>2.93 CoP</t>
  </si>
  <si>
    <t>9.7 IPLV</t>
  </si>
  <si>
    <t>&gt; 223kW</t>
  </si>
  <si>
    <t>9.7 EER</t>
  </si>
  <si>
    <t>2.84 CoP</t>
  </si>
  <si>
    <t>9.4 IPLV</t>
  </si>
  <si>
    <t>Through-the-wall,
Air cooled</t>
  </si>
  <si>
    <t>&lt; 9kW</t>
  </si>
  <si>
    <t>12.0 SEER</t>
  </si>
  <si>
    <t>3.52 SCoP</t>
  </si>
  <si>
    <t>Air conditioners, Water and evaporatively cooled</t>
  </si>
  <si>
    <t>12.1 EER</t>
  </si>
  <si>
    <t>3.55 CoP</t>
  </si>
  <si>
    <t>11.5 EER</t>
  </si>
  <si>
    <t>3.37 CoP</t>
  </si>
  <si>
    <t>Air cooled,(Cooling mode)</t>
  </si>
  <si>
    <t>10.6 EER</t>
  </si>
  <si>
    <t>3.11 CoP</t>
  </si>
  <si>
    <t>&gt; 70kW</t>
  </si>
  <si>
    <t>9.5 EER</t>
  </si>
  <si>
    <t>2.78 CoP</t>
  </si>
  <si>
    <t>9.2 IPLV</t>
  </si>
  <si>
    <t>Through-the-Wall (Air cooled, cooling mode)</t>
  </si>
  <si>
    <t>PACKAGED TERMINAL AIR CONDITIONERS AND PACKAGED TERMINAL HEAT PUMPS</t>
  </si>
  <si>
    <t>Size Category (Input)</t>
  </si>
  <si>
    <t>PTAC (Cooling mode)</t>
  </si>
  <si>
    <t>All capacities</t>
  </si>
  <si>
    <t>95ºF db outdoor air</t>
  </si>
  <si>
    <t>12.5 - (0.213 * Cap/1000) EER</t>
  </si>
  <si>
    <t>PTHP (Cooling mode)</t>
  </si>
  <si>
    <t>Full Load, EER</t>
  </si>
  <si>
    <t>Full Load, CoP</t>
  </si>
  <si>
    <t>IPLV</t>
  </si>
  <si>
    <t>Air-cooled chillers</t>
  </si>
  <si>
    <t>&lt; 150 tons</t>
  </si>
  <si>
    <t>&gt; 9.562</t>
  </si>
  <si>
    <t>&gt; 2.803</t>
  </si>
  <si>
    <t>&gt; 12.500</t>
  </si>
  <si>
    <t>&gt; 150 tons</t>
  </si>
  <si>
    <t>&gt; 12.750</t>
  </si>
  <si>
    <t>Air cooled without
condenser, electrical
operated</t>
  </si>
  <si>
    <t>Air-cooled chillers without condensers must be rated with matching condensers and comply with the air-cooled chiller efficiency requirements</t>
  </si>
  <si>
    <t>WATER CHILLING PACKAGES</t>
  </si>
  <si>
    <t>UNITARY AIR CONDITIONERS AND CONDENSING UNITS, ELECTRICALLY OPERATED</t>
  </si>
  <si>
    <t>Unitary Air Conditioners, VRF, Split (&amp; multi-split) units</t>
  </si>
  <si>
    <t>Capacity</t>
  </si>
  <si>
    <t>Overall Pass / Fail for Renewables</t>
  </si>
  <si>
    <t>Air conditioners - Air cooled</t>
  </si>
  <si>
    <t>Through-the-wall - Air cooled</t>
  </si>
  <si>
    <t>Air conditioners - Water and evaporatively cooled</t>
  </si>
  <si>
    <t>ac_ac</t>
  </si>
  <si>
    <t>ttw_ac</t>
  </si>
  <si>
    <t>ac_wec</t>
  </si>
  <si>
    <t>&gt; 19kW and &lt; 40kW</t>
  </si>
  <si>
    <t>&gt; 40kW and &lt; 70kW</t>
  </si>
  <si>
    <t>&gt; 70kW and &lt; 223kW</t>
  </si>
  <si>
    <t>Condensing Units</t>
  </si>
  <si>
    <t>Packaged Terminal Air Conditioners (PTAC) &amp; Packaged Terminal Heat Pumps (PTHP)</t>
  </si>
  <si>
    <t>Air Cooled Chillers</t>
  </si>
  <si>
    <t>Air cooled chiller</t>
  </si>
  <si>
    <t>Overall Pass / Fail for HVAC Systems</t>
  </si>
  <si>
    <t xml:space="preserve">HVAC Systems </t>
  </si>
  <si>
    <t>System Efficiency Compliance</t>
  </si>
  <si>
    <t>System Performance</t>
  </si>
  <si>
    <t>System Efficiency</t>
  </si>
  <si>
    <t>HVAC System Controls</t>
  </si>
  <si>
    <t>Are individual thermostatic controls provided in each zone, which are capable of responding to temperature within the zone?</t>
  </si>
  <si>
    <t>Is humidification/dehumidification provided by the system?</t>
  </si>
  <si>
    <t>Does each humidity control system have associated controls?</t>
  </si>
  <si>
    <t>Is Exterior Lighting Provided?</t>
  </si>
  <si>
    <t>Energy Recovery Systems</t>
  </si>
  <si>
    <t>Percentage Outdoor Air at Full Design Flow Rate</t>
  </si>
  <si>
    <t>&gt;30% &amp;&lt;40%</t>
  </si>
  <si>
    <t>&gt;40% &amp; &lt;50%</t>
  </si>
  <si>
    <t>&gt;50% &amp; &lt;60%</t>
  </si>
  <si>
    <t>&gt;60% &amp; &lt;70%</t>
  </si>
  <si>
    <t>&gt;70% &amp; &lt;80%</t>
  </si>
  <si>
    <t>&gt;80%</t>
  </si>
  <si>
    <t>Design Supply Fan Airflow Rate</t>
  </si>
  <si>
    <t>m³/s</t>
  </si>
  <si>
    <t>Design Supply Airflow Rate, m³/s</t>
  </si>
  <si>
    <t>Has an Energy Recovery system been provided?</t>
  </si>
  <si>
    <t>Demand Control Ventilation</t>
  </si>
  <si>
    <t>Do any of these zones exceed 50m² in area?</t>
  </si>
  <si>
    <t>Are there any zones with an Occupancy Density exceeding 2.3m²/person?</t>
  </si>
  <si>
    <t>What is the overall effectiveness of the system?
(based on change in enthalpy of outdoor air supply)</t>
  </si>
  <si>
    <t>Maximum specific fan powers in air distribution systems in new buildings</t>
  </si>
  <si>
    <t>System Type</t>
  </si>
  <si>
    <t>SFP, W/l/s</t>
  </si>
  <si>
    <t>Central mechanical ventilation, incl. heating &amp; cooling</t>
  </si>
  <si>
    <t>Zonal supply system where fan is remote from zone, i.e. ceiling or roof mounted</t>
  </si>
  <si>
    <t>Zonal extract system where fan is remote from zone</t>
  </si>
  <si>
    <t>Zonal supply &amp; extract ventilation units such as ceiling void or roof units serving single room/zone with heat recovery</t>
  </si>
  <si>
    <t>Local supply &amp; extract ventilation units such as wall/roof units serving single room/zone with heat recovery</t>
  </si>
  <si>
    <t>Local supply &amp; extract ventilation units such as window/wall/roof units serving single area (e.g. toilet extract)</t>
  </si>
  <si>
    <t>Other local ventilation units</t>
  </si>
  <si>
    <t>Fan assisted terminal VAV unit</t>
  </si>
  <si>
    <t>Fan coil units (weighted average)</t>
  </si>
  <si>
    <t>System Fan Power</t>
  </si>
  <si>
    <t>System Fan Power Compliance</t>
  </si>
  <si>
    <t>Fan System Type</t>
  </si>
  <si>
    <t>System Performance Compliance</t>
  </si>
  <si>
    <t>Miscellaneous Additional System Requirements</t>
  </si>
  <si>
    <t>Has Demand Control Ventilation been provided?</t>
  </si>
  <si>
    <t>Is the control system a proprietary system?</t>
  </si>
  <si>
    <t>Are any ducts located in unconditioned spaces?</t>
  </si>
  <si>
    <t>Are the ducts located in unconditioned spaces insulated with a minimum of R-5 insulation?</t>
  </si>
  <si>
    <t>Are any ducts located in external spaces?</t>
  </si>
  <si>
    <t>Are the ducts located in external spaces insulated with a minimum of R-8 insulation?</t>
  </si>
  <si>
    <t>Is all piping serving the cooling system insulated with a minimum of 38mm insulation (insulation thermal conductivity &lt; 0.039W/m.K) or equivalent?</t>
  </si>
  <si>
    <t>Service Hot Water System</t>
  </si>
  <si>
    <t>This section considers the performance of the service hot water system, excluding the contribution of any renewable technologies</t>
  </si>
  <si>
    <t>The following tables consider the performance of various HVAC system components.  Compliance must be demonstrated for all mandatory requirements relating to efficiency, fan power and performance.</t>
  </si>
  <si>
    <t>SHW</t>
  </si>
  <si>
    <t>Electric Hot Water Systems</t>
  </si>
  <si>
    <t>Hot Water System Efficiency</t>
  </si>
  <si>
    <t>Test Procedure</t>
  </si>
  <si>
    <t>&lt; 12 kW</t>
  </si>
  <si>
    <t>Resistance</t>
  </si>
  <si>
    <t>DOE 10 CFR Part 430</t>
  </si>
  <si>
    <t>&gt; 12 kW</t>
  </si>
  <si>
    <t>ANSI Z21.10.3</t>
  </si>
  <si>
    <t>Heat pump</t>
  </si>
  <si>
    <t>0.97 - 0.000349V, EF</t>
  </si>
  <si>
    <t>0.134V + 45.4 SL, W</t>
  </si>
  <si>
    <t>&lt; 24 amps and &lt; 250 volts</t>
  </si>
  <si>
    <t>Hot Water System Controls</t>
  </si>
  <si>
    <t>Are temperature controls provided to satisfy the set point requirements?
(43°C for dwellings, 32°C for other occupancies)</t>
  </si>
  <si>
    <t>Are public rest rooms provided?</t>
  </si>
  <si>
    <t>Is the hot water outlet temperature limited such that it cannot exceed 43°C?</t>
  </si>
  <si>
    <t>Are heating or cooling systems provided for swimming pools, spas or hot tubs?</t>
  </si>
  <si>
    <t>Is a readily accessible on-off switch provided that can shut off the system without adjusting the thermostat settings?</t>
  </si>
  <si>
    <t>Are swimming pools, spas or hot tubs provided?</t>
  </si>
  <si>
    <t>Are any of the swimming pools, spas or hot tubs heated to more than 32°C?</t>
  </si>
  <si>
    <t>Are they provided with a cover that has an insulation value exceeding R-12?</t>
  </si>
  <si>
    <t>Are the pools equipped with a vapour retardant cover?</t>
  </si>
  <si>
    <t>Target Requirement, kWh</t>
  </si>
  <si>
    <t>Achieved, kWh</t>
  </si>
  <si>
    <t>Is there a dedicated outdoor air system providing fresh air to occupied zones?</t>
  </si>
  <si>
    <t>Overall Pass / Fail for SHW Systems</t>
  </si>
  <si>
    <t>Mechanical Engineer</t>
  </si>
  <si>
    <t>Electrical Engineer</t>
  </si>
  <si>
    <t>Public Health Engineer</t>
  </si>
  <si>
    <t>The following building envelope elements must satisfy the minimum performance requirements where applicable.  The quoted Design Value should be an area weighted average of all relevant element types within the project.</t>
  </si>
  <si>
    <t>Are all installed Chilled Water pump motors fitted with Variable Speed Drives?</t>
  </si>
  <si>
    <t>This section considers the provision of an adequate solar thermal system for office buildings.
For other building typologies there is no requirement to provide renewable technologies.</t>
  </si>
  <si>
    <t>Last Revised: April 2011</t>
  </si>
  <si>
    <t>Click to Select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</si>
</sst>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_-[$€-2]* #,##0.00_-;\-[$€-2]* #,##0.00_-;_-[$€-2]* &quot;-&quot;??_-"/>
    <numFmt numFmtId="176" formatCode="#,##0.0_ ;\-#,##0.0\ "/>
    <numFmt numFmtId="177" formatCode="#,##0_ ;\-#,##0\ "/>
    <numFmt numFmtId="178" formatCode="0.00000"/>
    <numFmt numFmtId="179" formatCode="0.000000"/>
    <numFmt numFmtId="180" formatCode="0.0000000"/>
    <numFmt numFmtId="181" formatCode="[$-809]dd\ mmmm\ yyyy"/>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64">
    <font>
      <sz val="10"/>
      <name val="Arial"/>
      <family val="0"/>
    </font>
    <font>
      <sz val="11"/>
      <color indexed="8"/>
      <name val="Calibri"/>
      <family val="2"/>
    </font>
    <font>
      <sz val="8"/>
      <name val="Arial"/>
      <family val="2"/>
    </font>
    <font>
      <sz val="10"/>
      <name val="Trebuchet MS"/>
      <family val="2"/>
    </font>
    <font>
      <b/>
      <sz val="10"/>
      <color indexed="9"/>
      <name val="Trebuchet MS"/>
      <family val="2"/>
    </font>
    <font>
      <b/>
      <sz val="10"/>
      <name val="Trebuchet MS"/>
      <family val="2"/>
    </font>
    <font>
      <u val="single"/>
      <sz val="10"/>
      <color indexed="12"/>
      <name val="Arial"/>
      <family val="2"/>
    </font>
    <font>
      <sz val="10"/>
      <color indexed="9"/>
      <name val="Trebuchet MS"/>
      <family val="2"/>
    </font>
    <font>
      <b/>
      <sz val="16"/>
      <color indexed="48"/>
      <name val="Trebuchet MS"/>
      <family val="2"/>
    </font>
    <font>
      <b/>
      <sz val="20"/>
      <color indexed="48"/>
      <name val="Trebuchet MS"/>
      <family val="2"/>
    </font>
    <font>
      <b/>
      <sz val="12"/>
      <color indexed="31"/>
      <name val="Trebuchet MS"/>
      <family val="2"/>
    </font>
    <font>
      <b/>
      <sz val="28"/>
      <color indexed="9"/>
      <name val="Trebuchet MS"/>
      <family val="2"/>
    </font>
    <font>
      <b/>
      <sz val="20"/>
      <color indexed="9"/>
      <name val="Trebuchet MS"/>
      <family val="2"/>
    </font>
    <font>
      <b/>
      <sz val="12"/>
      <color indexed="9"/>
      <name val="Trebuchet MS"/>
      <family val="2"/>
    </font>
    <font>
      <b/>
      <sz val="14"/>
      <name val="Trebuchet MS"/>
      <family val="2"/>
    </font>
    <font>
      <u val="single"/>
      <sz val="12"/>
      <color indexed="12"/>
      <name val="Trebuchet MS"/>
      <family val="2"/>
    </font>
    <font>
      <sz val="12"/>
      <name val="Trebuchet MS"/>
      <family val="2"/>
    </font>
    <font>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3"/>
      <name val="Calibri"/>
      <family val="2"/>
    </font>
    <font>
      <b/>
      <sz val="13"/>
      <color indexed="33"/>
      <name val="Calibri"/>
      <family val="2"/>
    </font>
    <font>
      <b/>
      <sz val="11"/>
      <color indexed="3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33"/>
      <name val="Cambria"/>
      <family val="2"/>
    </font>
    <font>
      <b/>
      <sz val="11"/>
      <color indexed="8"/>
      <name val="Calibri"/>
      <family val="2"/>
    </font>
    <font>
      <sz val="11"/>
      <color indexed="10"/>
      <name val="Calibri"/>
      <family val="2"/>
    </font>
    <font>
      <sz val="12"/>
      <name val="Calibri"/>
      <family val="2"/>
    </font>
    <font>
      <b/>
      <sz val="12"/>
      <name val="Calibri"/>
      <family val="2"/>
    </font>
    <font>
      <sz val="11"/>
      <name val="Calibri"/>
      <family val="2"/>
    </font>
    <font>
      <b/>
      <sz val="14"/>
      <color indexed="10"/>
      <name val="Trebuchet MS"/>
      <family val="2"/>
    </font>
    <font>
      <sz val="10"/>
      <color indexed="10"/>
      <name val="Trebuchet MS"/>
      <family val="2"/>
    </font>
    <font>
      <b/>
      <sz val="10"/>
      <color indexed="8"/>
      <name val="Trebuchet MS"/>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DD0806"/>
      <name val="Trebuchet MS"/>
      <family val="2"/>
    </font>
    <font>
      <sz val="10"/>
      <color theme="0"/>
      <name val="Trebuchet MS"/>
      <family val="2"/>
    </font>
    <font>
      <sz val="10"/>
      <color rgb="FFDD0806"/>
      <name val="Trebuchet MS"/>
      <family val="2"/>
    </font>
    <font>
      <b/>
      <sz val="10"/>
      <color theme="1"/>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30"/>
        <bgColor indexed="64"/>
      </patternFill>
    </fill>
    <fill>
      <patternFill patternType="solid">
        <fgColor indexed="55"/>
        <bgColor indexed="64"/>
      </patternFill>
    </fill>
    <fill>
      <patternFill patternType="solid">
        <fgColor rgb="FFD1DEEF"/>
        <bgColor indexed="64"/>
      </patternFill>
    </fill>
    <fill>
      <patternFill patternType="solid">
        <fgColor theme="0"/>
        <bgColor indexed="64"/>
      </patternFill>
    </fill>
    <fill>
      <patternFill patternType="solid">
        <fgColor indexed="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medium">
        <color indexed="31"/>
      </top>
      <bottom/>
    </border>
    <border>
      <left style="medium"/>
      <right style="medium"/>
      <top style="medium"/>
      <bottom style="medium"/>
    </border>
    <border>
      <left style="medium">
        <color indexed="35"/>
      </left>
      <right/>
      <top style="medium">
        <color indexed="30"/>
      </top>
      <bottom style="medium">
        <color indexed="35"/>
      </bottom>
    </border>
    <border>
      <left style="thin"/>
      <right/>
      <top style="thin"/>
      <bottom style="thin"/>
    </border>
    <border>
      <left/>
      <right style="thin"/>
      <top style="thin"/>
      <bottom style="thin"/>
    </border>
    <border>
      <left style="medium">
        <color indexed="31"/>
      </left>
      <right style="medium">
        <color indexed="31"/>
      </right>
      <top style="medium">
        <color indexed="31"/>
      </top>
      <bottom style="medium">
        <color indexed="31"/>
      </bottom>
    </border>
    <border>
      <left>
        <color indexed="63"/>
      </left>
      <right style="thin"/>
      <top style="thin"/>
      <bottom/>
    </border>
    <border>
      <left style="thin"/>
      <right style="thin"/>
      <top/>
      <bottom style="thin"/>
    </border>
    <border>
      <left style="thin"/>
      <right style="thin"/>
      <top/>
      <bottom/>
    </border>
    <border>
      <left style="thin"/>
      <right/>
      <top style="thin"/>
      <bottom/>
    </border>
    <border>
      <left style="thin"/>
      <right/>
      <top>
        <color indexed="63"/>
      </top>
      <bottom style="thin"/>
    </border>
    <border>
      <left style="medium">
        <color indexed="35"/>
      </left>
      <right>
        <color indexed="63"/>
      </right>
      <top>
        <color indexed="63"/>
      </top>
      <bottom style="medium">
        <color indexed="35"/>
      </bottom>
    </border>
    <border>
      <left/>
      <right style="thin"/>
      <top>
        <color indexed="63"/>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right/>
      <top style="thin"/>
      <bottom style="thin"/>
    </border>
    <border>
      <left>
        <color indexed="63"/>
      </left>
      <right>
        <color indexed="63"/>
      </right>
      <top style="thin"/>
      <bottom>
        <color indexed="63"/>
      </bottom>
    </border>
    <border>
      <left style="medium">
        <color indexed="31"/>
      </left>
      <right/>
      <top style="medium">
        <color indexed="31"/>
      </top>
      <bottom style="medium">
        <color indexed="31"/>
      </bottom>
    </border>
    <border>
      <left/>
      <right style="medium">
        <color indexed="31"/>
      </right>
      <top style="medium">
        <color indexed="31"/>
      </top>
      <bottom style="medium">
        <color indexed="31"/>
      </bottom>
    </border>
    <border>
      <left>
        <color indexed="63"/>
      </left>
      <right style="thin"/>
      <top>
        <color indexed="63"/>
      </top>
      <bottom>
        <color indexed="63"/>
      </bottom>
    </border>
    <border>
      <left>
        <color indexed="63"/>
      </left>
      <right/>
      <top style="medium">
        <color indexed="30"/>
      </top>
      <bottom style="medium">
        <color indexed="35"/>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6">
    <xf numFmtId="0" fontId="0" fillId="0" borderId="0" xfId="0" applyAlignment="1">
      <alignment/>
    </xf>
    <xf numFmtId="0" fontId="3"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11" fillId="33" borderId="0" xfId="0" applyFont="1" applyFill="1" applyBorder="1" applyAlignment="1" applyProtection="1">
      <alignment/>
      <protection hidden="1"/>
    </xf>
    <xf numFmtId="0" fontId="12" fillId="33" borderId="0" xfId="0" applyFont="1" applyFill="1" applyBorder="1" applyAlignment="1" applyProtection="1">
      <alignment/>
      <protection hidden="1"/>
    </xf>
    <xf numFmtId="0" fontId="3" fillId="34" borderId="0" xfId="0" applyFont="1" applyFill="1" applyBorder="1" applyAlignment="1" applyProtection="1">
      <alignment vertical="center"/>
      <protection hidden="1"/>
    </xf>
    <xf numFmtId="0" fontId="3" fillId="34" borderId="10"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3" fillId="35" borderId="10" xfId="0" applyFont="1" applyFill="1" applyBorder="1" applyAlignment="1" applyProtection="1">
      <alignment horizontal="center" vertical="center"/>
      <protection hidden="1" locked="0"/>
    </xf>
    <xf numFmtId="0" fontId="10" fillId="34" borderId="0" xfId="0" applyFont="1" applyFill="1" applyBorder="1" applyAlignment="1" applyProtection="1">
      <alignment horizontal="right" vertical="center"/>
      <protection hidden="1"/>
    </xf>
    <xf numFmtId="0" fontId="3" fillId="34" borderId="0" xfId="0" applyFont="1" applyFill="1" applyAlignment="1" applyProtection="1">
      <alignment/>
      <protection hidden="1"/>
    </xf>
    <xf numFmtId="0" fontId="3" fillId="33" borderId="0" xfId="0" applyFont="1" applyFill="1" applyAlignment="1" applyProtection="1">
      <alignment/>
      <protection hidden="1"/>
    </xf>
    <xf numFmtId="0" fontId="7" fillId="34" borderId="0" xfId="0" applyFont="1" applyFill="1" applyAlignment="1" applyProtection="1">
      <alignment/>
      <protection hidden="1"/>
    </xf>
    <xf numFmtId="0" fontId="3" fillId="34" borderId="0" xfId="0" applyFont="1" applyFill="1" applyAlignment="1" applyProtection="1">
      <alignment vertical="center"/>
      <protection hidden="1"/>
    </xf>
    <xf numFmtId="0" fontId="3" fillId="34" borderId="0" xfId="0" applyFont="1" applyFill="1" applyBorder="1" applyAlignment="1" applyProtection="1">
      <alignment/>
      <protection hidden="1"/>
    </xf>
    <xf numFmtId="0" fontId="5" fillId="34" borderId="0" xfId="0" applyFont="1" applyFill="1" applyBorder="1" applyAlignment="1" applyProtection="1">
      <alignment vertical="center"/>
      <protection hidden="1"/>
    </xf>
    <xf numFmtId="0" fontId="3" fillId="35" borderId="10" xfId="0" applyFont="1" applyFill="1" applyBorder="1" applyAlignment="1" applyProtection="1">
      <alignment vertical="center"/>
      <protection hidden="1"/>
    </xf>
    <xf numFmtId="2" fontId="3" fillId="34" borderId="10" xfId="0" applyNumberFormat="1" applyFont="1" applyFill="1" applyBorder="1" applyAlignment="1" applyProtection="1">
      <alignment horizontal="center" vertical="center"/>
      <protection hidden="1"/>
    </xf>
    <xf numFmtId="172" fontId="3" fillId="34" borderId="10" xfId="0" applyNumberFormat="1"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xf>
    <xf numFmtId="0" fontId="3" fillId="34" borderId="0" xfId="0" applyFont="1" applyFill="1" applyAlignment="1" applyProtection="1">
      <alignment horizontal="right" vertical="center"/>
      <protection hidden="1"/>
    </xf>
    <xf numFmtId="0" fontId="3" fillId="34" borderId="11" xfId="0" applyFont="1" applyFill="1" applyBorder="1" applyAlignment="1" applyProtection="1">
      <alignment horizontal="center" vertical="center"/>
      <protection hidden="1"/>
    </xf>
    <xf numFmtId="0" fontId="3" fillId="34" borderId="10" xfId="0" applyFont="1" applyFill="1" applyBorder="1" applyAlignment="1" applyProtection="1">
      <alignment vertical="center" wrapText="1"/>
      <protection hidden="1"/>
    </xf>
    <xf numFmtId="2" fontId="3" fillId="35" borderId="10" xfId="0" applyNumberFormat="1" applyFont="1" applyFill="1" applyBorder="1" applyAlignment="1" applyProtection="1">
      <alignment horizontal="center" vertical="center" wrapText="1"/>
      <protection hidden="1" locked="0"/>
    </xf>
    <xf numFmtId="0" fontId="3" fillId="35" borderId="11" xfId="0" applyFont="1" applyFill="1" applyBorder="1" applyAlignment="1" applyProtection="1">
      <alignment horizontal="center" vertical="center"/>
      <protection hidden="1" locked="0"/>
    </xf>
    <xf numFmtId="1" fontId="5" fillId="34" borderId="0" xfId="0" applyNumberFormat="1" applyFont="1" applyFill="1" applyBorder="1" applyAlignment="1" applyProtection="1">
      <alignment vertical="center" wrapText="1"/>
      <protection hidden="1"/>
    </xf>
    <xf numFmtId="1" fontId="3" fillId="34" borderId="0" xfId="0" applyNumberFormat="1" applyFont="1" applyFill="1" applyBorder="1" applyAlignment="1" applyProtection="1">
      <alignment/>
      <protection hidden="1"/>
    </xf>
    <xf numFmtId="0" fontId="7" fillId="34" borderId="0" xfId="0" applyFont="1" applyFill="1" applyBorder="1" applyAlignment="1" applyProtection="1">
      <alignment horizontal="center" vertical="center" wrapText="1"/>
      <protection hidden="1"/>
    </xf>
    <xf numFmtId="0" fontId="13" fillId="34"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7" fillId="34" borderId="0" xfId="0" applyFont="1" applyFill="1" applyBorder="1" applyAlignment="1" applyProtection="1">
      <alignment horizontal="center" vertical="center"/>
      <protection hidden="1"/>
    </xf>
    <xf numFmtId="172" fontId="3" fillId="34" borderId="0"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right" vertical="center"/>
      <protection hidden="1"/>
    </xf>
    <xf numFmtId="1" fontId="3" fillId="34" borderId="0" xfId="0" applyNumberFormat="1" applyFont="1" applyFill="1" applyBorder="1" applyAlignment="1" applyProtection="1">
      <alignment horizontal="center" vertical="center"/>
      <protection hidden="1"/>
    </xf>
    <xf numFmtId="0" fontId="10" fillId="34" borderId="0" xfId="0" applyFont="1" applyFill="1" applyAlignment="1" applyProtection="1">
      <alignment vertical="center"/>
      <protection hidden="1"/>
    </xf>
    <xf numFmtId="0" fontId="13" fillId="34" borderId="12" xfId="0" applyFont="1" applyFill="1" applyBorder="1" applyAlignment="1" applyProtection="1">
      <alignment vertical="center"/>
      <protection hidden="1"/>
    </xf>
    <xf numFmtId="0" fontId="5" fillId="34" borderId="13"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protection hidden="1"/>
    </xf>
    <xf numFmtId="172" fontId="7" fillId="34" borderId="0" xfId="0" applyNumberFormat="1" applyFont="1" applyFill="1" applyBorder="1" applyAlignment="1" applyProtection="1">
      <alignment horizontal="center" vertical="center"/>
      <protection hidden="1"/>
    </xf>
    <xf numFmtId="0" fontId="13" fillId="33" borderId="14" xfId="54" applyFont="1" applyFill="1" applyBorder="1" applyAlignment="1" applyProtection="1">
      <alignment horizontal="center" vertical="center"/>
      <protection hidden="1"/>
    </xf>
    <xf numFmtId="0" fontId="3" fillId="34" borderId="15" xfId="0" applyFont="1" applyFill="1" applyBorder="1" applyAlignment="1" applyProtection="1">
      <alignment vertical="center" wrapText="1"/>
      <protection hidden="1"/>
    </xf>
    <xf numFmtId="0" fontId="13" fillId="33" borderId="15" xfId="0" applyFont="1" applyFill="1" applyBorder="1" applyAlignment="1" applyProtection="1">
      <alignment vertical="center"/>
      <protection hidden="1"/>
    </xf>
    <xf numFmtId="0" fontId="4" fillId="33" borderId="10" xfId="0" applyFont="1" applyFill="1" applyBorder="1" applyAlignment="1" applyProtection="1">
      <alignment horizontal="center" vertical="center"/>
      <protection hidden="1"/>
    </xf>
    <xf numFmtId="0" fontId="4" fillId="36" borderId="10"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center" vertical="center" wrapText="1"/>
      <protection hidden="1"/>
    </xf>
    <xf numFmtId="1" fontId="5" fillId="34" borderId="0" xfId="0" applyNumberFormat="1" applyFont="1" applyFill="1" applyBorder="1" applyAlignment="1" applyProtection="1">
      <alignment horizontal="left" vertical="center" wrapText="1"/>
      <protection hidden="1"/>
    </xf>
    <xf numFmtId="0" fontId="15" fillId="34" borderId="0" xfId="54" applyFont="1" applyFill="1" applyAlignment="1" applyProtection="1">
      <alignment horizontal="left" vertical="center"/>
      <protection hidden="1"/>
    </xf>
    <xf numFmtId="0" fontId="3" fillId="34" borderId="16" xfId="0" applyFont="1" applyFill="1" applyBorder="1" applyAlignment="1" applyProtection="1">
      <alignment vertical="center" wrapText="1"/>
      <protection hidden="1"/>
    </xf>
    <xf numFmtId="0" fontId="3" fillId="34" borderId="0" xfId="0" applyFont="1" applyFill="1" applyAlignment="1" applyProtection="1">
      <alignment/>
      <protection hidden="1"/>
    </xf>
    <xf numFmtId="0" fontId="3" fillId="34" borderId="11" xfId="0" applyFont="1" applyFill="1" applyBorder="1" applyAlignment="1" applyProtection="1">
      <alignment horizontal="left" vertical="center" wrapText="1"/>
      <protection hidden="1"/>
    </xf>
    <xf numFmtId="0" fontId="13" fillId="33" borderId="14" xfId="0" applyFont="1" applyFill="1" applyBorder="1" applyAlignment="1" applyProtection="1">
      <alignment horizontal="center" vertical="center"/>
      <protection hidden="1"/>
    </xf>
    <xf numFmtId="172" fontId="3" fillId="37" borderId="10" xfId="0" applyNumberFormat="1" applyFont="1" applyFill="1" applyBorder="1" applyAlignment="1" applyProtection="1">
      <alignment horizontal="center" vertical="center" wrapText="1"/>
      <protection hidden="1" locked="0"/>
    </xf>
    <xf numFmtId="0" fontId="0" fillId="38" borderId="0" xfId="0" applyFill="1" applyAlignment="1">
      <alignment/>
    </xf>
    <xf numFmtId="2" fontId="3" fillId="37" borderId="10" xfId="0" applyNumberFormat="1" applyFont="1" applyFill="1" applyBorder="1" applyAlignment="1" applyProtection="1">
      <alignment horizontal="center" vertical="center" wrapText="1"/>
      <protection hidden="1" locked="0"/>
    </xf>
    <xf numFmtId="9" fontId="3" fillId="34" borderId="10" xfId="60" applyFont="1" applyFill="1" applyBorder="1" applyAlignment="1" applyProtection="1">
      <alignment horizontal="center" vertical="center"/>
      <protection hidden="1"/>
    </xf>
    <xf numFmtId="9" fontId="3" fillId="35" borderId="10" xfId="60" applyFont="1" applyFill="1" applyBorder="1" applyAlignment="1" applyProtection="1">
      <alignment horizontal="center" vertical="center" wrapText="1"/>
      <protection hidden="1" locked="0"/>
    </xf>
    <xf numFmtId="0" fontId="35" fillId="38" borderId="0" xfId="0" applyFont="1" applyFill="1" applyAlignment="1">
      <alignment/>
    </xf>
    <xf numFmtId="0" fontId="17" fillId="38" borderId="0" xfId="0" applyFont="1" applyFill="1" applyAlignment="1">
      <alignment/>
    </xf>
    <xf numFmtId="0" fontId="36" fillId="38" borderId="0" xfId="0" applyFont="1" applyFill="1" applyAlignment="1">
      <alignment/>
    </xf>
    <xf numFmtId="0" fontId="37" fillId="38" borderId="0" xfId="0" applyFont="1" applyFill="1" applyAlignment="1">
      <alignment/>
    </xf>
    <xf numFmtId="49" fontId="3" fillId="34" borderId="10" xfId="0" applyNumberFormat="1" applyFont="1" applyFill="1" applyBorder="1" applyAlignment="1" applyProtection="1">
      <alignment vertical="center" wrapText="1"/>
      <protection hidden="1"/>
    </xf>
    <xf numFmtId="0" fontId="10" fillId="34" borderId="17" xfId="54" applyFont="1" applyFill="1" applyBorder="1" applyAlignment="1" applyProtection="1">
      <alignment horizontal="center" vertical="center"/>
      <protection hidden="1"/>
    </xf>
    <xf numFmtId="0" fontId="3" fillId="34" borderId="18" xfId="0" applyFont="1" applyFill="1" applyBorder="1" applyAlignment="1" applyProtection="1">
      <alignment vertical="center" wrapText="1"/>
      <protection hidden="1"/>
    </xf>
    <xf numFmtId="0" fontId="3" fillId="34" borderId="0" xfId="0" applyFont="1" applyFill="1" applyAlignment="1" applyProtection="1">
      <alignment horizontal="center" vertical="center" wrapText="1"/>
      <protection hidden="1"/>
    </xf>
    <xf numFmtId="2" fontId="3" fillId="34" borderId="0" xfId="0" applyNumberFormat="1" applyFont="1" applyFill="1" applyAlignment="1" applyProtection="1">
      <alignment horizontal="center" vertical="center"/>
      <protection hidden="1"/>
    </xf>
    <xf numFmtId="0" fontId="5" fillId="34" borderId="11" xfId="0" applyFont="1" applyFill="1" applyBorder="1" applyAlignment="1" applyProtection="1">
      <alignment horizontal="center" vertical="center"/>
      <protection hidden="1"/>
    </xf>
    <xf numFmtId="0" fontId="5" fillId="34" borderId="19" xfId="0" applyFont="1" applyFill="1" applyBorder="1" applyAlignment="1" applyProtection="1">
      <alignment horizontal="center" vertical="center"/>
      <protection hidden="1"/>
    </xf>
    <xf numFmtId="0" fontId="3" fillId="34" borderId="20" xfId="0" applyFont="1" applyFill="1" applyBorder="1" applyAlignment="1" applyProtection="1">
      <alignment horizontal="left" vertical="center" wrapText="1"/>
      <protection hidden="1"/>
    </xf>
    <xf numFmtId="0" fontId="3" fillId="34" borderId="19" xfId="0" applyFont="1" applyFill="1" applyBorder="1" applyAlignment="1" applyProtection="1">
      <alignment vertical="center" wrapText="1"/>
      <protection hidden="1"/>
    </xf>
    <xf numFmtId="0" fontId="3" fillId="35" borderId="19" xfId="0" applyFont="1" applyFill="1" applyBorder="1" applyAlignment="1" applyProtection="1">
      <alignment horizontal="center" vertical="center"/>
      <protection hidden="1" locked="0"/>
    </xf>
    <xf numFmtId="0" fontId="7" fillId="34" borderId="0" xfId="0" applyFont="1" applyFill="1" applyBorder="1" applyAlignment="1" applyProtection="1">
      <alignment horizontal="right" vertical="center"/>
      <protection hidden="1"/>
    </xf>
    <xf numFmtId="2" fontId="3" fillId="34" borderId="19" xfId="0" applyNumberFormat="1" applyFont="1" applyFill="1" applyBorder="1" applyAlignment="1" applyProtection="1">
      <alignment horizontal="center" vertical="center"/>
      <protection hidden="1"/>
    </xf>
    <xf numFmtId="2" fontId="3" fillId="35" borderId="19" xfId="0" applyNumberFormat="1" applyFont="1" applyFill="1" applyBorder="1" applyAlignment="1" applyProtection="1">
      <alignment horizontal="center" vertical="center" wrapText="1"/>
      <protection hidden="1" locked="0"/>
    </xf>
    <xf numFmtId="2" fontId="3" fillId="34" borderId="11" xfId="0" applyNumberFormat="1" applyFont="1" applyFill="1" applyBorder="1" applyAlignment="1" applyProtection="1">
      <alignment horizontal="center" vertical="center"/>
      <protection hidden="1"/>
    </xf>
    <xf numFmtId="0" fontId="3" fillId="34" borderId="15" xfId="0" applyFont="1" applyFill="1" applyBorder="1" applyAlignment="1" applyProtection="1">
      <alignment horizontal="center" vertical="center" wrapText="1"/>
      <protection hidden="1"/>
    </xf>
    <xf numFmtId="0" fontId="37" fillId="38" borderId="10" xfId="0" applyFont="1" applyFill="1" applyBorder="1" applyAlignment="1">
      <alignment horizontal="center"/>
    </xf>
    <xf numFmtId="0" fontId="17" fillId="38" borderId="10" xfId="0" applyFont="1" applyFill="1" applyBorder="1" applyAlignment="1">
      <alignment wrapText="1"/>
    </xf>
    <xf numFmtId="0" fontId="17" fillId="38" borderId="10" xfId="0" applyFont="1" applyFill="1" applyBorder="1" applyAlignment="1">
      <alignment horizontal="right" vertical="center" wrapText="1"/>
    </xf>
    <xf numFmtId="0" fontId="17" fillId="38" borderId="0" xfId="0" applyFont="1" applyFill="1" applyAlignment="1">
      <alignment vertical="center"/>
    </xf>
    <xf numFmtId="0" fontId="17" fillId="38" borderId="10" xfId="0" applyFont="1" applyFill="1" applyBorder="1" applyAlignment="1">
      <alignment vertical="center"/>
    </xf>
    <xf numFmtId="0" fontId="17" fillId="38" borderId="10" xfId="0" applyFont="1" applyFill="1" applyBorder="1" applyAlignment="1">
      <alignment vertical="center" wrapText="1"/>
    </xf>
    <xf numFmtId="0" fontId="37" fillId="38" borderId="10" xfId="0" applyFont="1" applyFill="1" applyBorder="1" applyAlignment="1">
      <alignment/>
    </xf>
    <xf numFmtId="2" fontId="37" fillId="38" borderId="10" xfId="0" applyNumberFormat="1" applyFont="1" applyFill="1" applyBorder="1" applyAlignment="1">
      <alignment horizontal="center"/>
    </xf>
    <xf numFmtId="0" fontId="17" fillId="38" borderId="11" xfId="0" applyFont="1" applyFill="1" applyBorder="1" applyAlignment="1">
      <alignment vertical="center" wrapText="1"/>
    </xf>
    <xf numFmtId="0" fontId="17" fillId="38" borderId="11" xfId="0" applyFont="1" applyFill="1" applyBorder="1" applyAlignment="1">
      <alignment vertical="center"/>
    </xf>
    <xf numFmtId="0" fontId="17" fillId="38" borderId="10" xfId="0" applyFont="1" applyFill="1" applyBorder="1" applyAlignment="1">
      <alignment horizontal="left" vertical="center"/>
    </xf>
    <xf numFmtId="172" fontId="17" fillId="38" borderId="10" xfId="0" applyNumberFormat="1" applyFont="1" applyFill="1" applyBorder="1" applyAlignment="1">
      <alignment horizontal="right" vertical="center"/>
    </xf>
    <xf numFmtId="0" fontId="17" fillId="38" borderId="10" xfId="0" applyFont="1" applyFill="1" applyBorder="1" applyAlignment="1">
      <alignment horizontal="center" vertical="center"/>
    </xf>
    <xf numFmtId="0" fontId="17" fillId="38" borderId="10" xfId="0" applyFont="1" applyFill="1" applyBorder="1" applyAlignment="1">
      <alignment horizontal="center" vertical="center" wrapText="1"/>
    </xf>
    <xf numFmtId="0" fontId="37" fillId="38" borderId="10" xfId="0" applyFont="1" applyFill="1" applyBorder="1" applyAlignment="1">
      <alignment horizontal="justify" vertical="top"/>
    </xf>
    <xf numFmtId="0" fontId="17" fillId="38" borderId="15" xfId="0" applyFont="1" applyFill="1" applyBorder="1" applyAlignment="1">
      <alignment vertical="center" wrapText="1"/>
    </xf>
    <xf numFmtId="0" fontId="17" fillId="38" borderId="21" xfId="0" applyFont="1" applyFill="1" applyBorder="1" applyAlignment="1">
      <alignment vertical="center" wrapText="1"/>
    </xf>
    <xf numFmtId="0" fontId="17" fillId="38" borderId="22" xfId="0" applyFont="1" applyFill="1" applyBorder="1" applyAlignment="1">
      <alignment vertical="center" wrapText="1"/>
    </xf>
    <xf numFmtId="0" fontId="17" fillId="38" borderId="19" xfId="0" applyFont="1" applyFill="1" applyBorder="1" applyAlignment="1">
      <alignment horizontal="center" vertical="center"/>
    </xf>
    <xf numFmtId="2" fontId="17" fillId="38" borderId="10" xfId="0" applyNumberFormat="1" applyFont="1" applyFill="1" applyBorder="1" applyAlignment="1">
      <alignment horizontal="center" vertical="center"/>
    </xf>
    <xf numFmtId="0" fontId="17" fillId="38" borderId="11" xfId="0" applyFont="1" applyFill="1" applyBorder="1" applyAlignment="1">
      <alignment horizontal="center" vertical="center"/>
    </xf>
    <xf numFmtId="0" fontId="17" fillId="38" borderId="0" xfId="0" applyFont="1" applyFill="1" applyBorder="1" applyAlignment="1">
      <alignment horizontal="center" vertical="center" wrapText="1"/>
    </xf>
    <xf numFmtId="0" fontId="17" fillId="38" borderId="0" xfId="0" applyFont="1" applyFill="1" applyBorder="1" applyAlignment="1">
      <alignment horizontal="center" vertical="center"/>
    </xf>
    <xf numFmtId="0" fontId="17" fillId="38" borderId="16" xfId="0" applyFont="1" applyFill="1" applyBorder="1" applyAlignment="1">
      <alignment vertical="center" wrapText="1"/>
    </xf>
    <xf numFmtId="1" fontId="3" fillId="35" borderId="10" xfId="0" applyNumberFormat="1" applyFont="1" applyFill="1" applyBorder="1" applyAlignment="1" applyProtection="1">
      <alignment horizontal="center" vertical="center" wrapText="1"/>
      <protection hidden="1" locked="0"/>
    </xf>
    <xf numFmtId="2" fontId="3" fillId="34" borderId="0" xfId="0" applyNumberFormat="1" applyFont="1" applyFill="1" applyAlignment="1" applyProtection="1">
      <alignment/>
      <protection hidden="1"/>
    </xf>
    <xf numFmtId="0" fontId="3" fillId="37" borderId="15" xfId="0" applyFont="1" applyFill="1" applyBorder="1" applyAlignment="1" applyProtection="1">
      <alignment vertical="center" wrapText="1"/>
      <protection hidden="1" locked="0"/>
    </xf>
    <xf numFmtId="0" fontId="3" fillId="37" borderId="15" xfId="0" applyFont="1" applyFill="1" applyBorder="1" applyAlignment="1" applyProtection="1">
      <alignment horizontal="center" vertical="center" wrapText="1"/>
      <protection hidden="1" locked="0"/>
    </xf>
    <xf numFmtId="0" fontId="3" fillId="37" borderId="10" xfId="0" applyFont="1" applyFill="1" applyBorder="1" applyAlignment="1" applyProtection="1">
      <alignment horizontal="center" vertical="center"/>
      <protection hidden="1" locked="0"/>
    </xf>
    <xf numFmtId="172" fontId="60" fillId="34" borderId="0" xfId="0" applyNumberFormat="1" applyFont="1" applyFill="1" applyBorder="1" applyAlignment="1" applyProtection="1">
      <alignment horizontal="center" vertical="center"/>
      <protection hidden="1"/>
    </xf>
    <xf numFmtId="2" fontId="3" fillId="37" borderId="11" xfId="0" applyNumberFormat="1" applyFont="1" applyFill="1" applyBorder="1" applyAlignment="1" applyProtection="1">
      <alignment horizontal="center" vertical="center" wrapText="1"/>
      <protection hidden="1" locked="0"/>
    </xf>
    <xf numFmtId="0" fontId="17" fillId="38" borderId="10" xfId="0" applyFont="1" applyFill="1" applyBorder="1" applyAlignment="1">
      <alignment horizontal="center" vertical="center" wrapText="1"/>
    </xf>
    <xf numFmtId="0" fontId="17" fillId="38" borderId="10" xfId="0" applyFont="1" applyFill="1" applyBorder="1" applyAlignment="1">
      <alignment horizontal="center" vertical="center"/>
    </xf>
    <xf numFmtId="2" fontId="0" fillId="38" borderId="10" xfId="0" applyNumberFormat="1" applyFill="1" applyBorder="1" applyAlignment="1">
      <alignment horizontal="center" vertical="center"/>
    </xf>
    <xf numFmtId="0" fontId="17" fillId="38" borderId="10" xfId="0" applyFont="1" applyFill="1" applyBorder="1" applyAlignment="1">
      <alignment vertical="center" wrapText="1"/>
    </xf>
    <xf numFmtId="2" fontId="3" fillId="34" borderId="0" xfId="0" applyNumberFormat="1" applyFont="1" applyFill="1" applyAlignment="1" applyProtection="1">
      <alignment horizontal="left" vertical="center"/>
      <protection hidden="1"/>
    </xf>
    <xf numFmtId="2" fontId="3" fillId="37" borderId="10" xfId="0" applyNumberFormat="1" applyFont="1" applyFill="1" applyBorder="1" applyAlignment="1" applyProtection="1">
      <alignment horizontal="center" vertical="center"/>
      <protection hidden="1" locked="0"/>
    </xf>
    <xf numFmtId="172" fontId="3" fillId="37" borderId="10" xfId="0" applyNumberFormat="1" applyFont="1" applyFill="1" applyBorder="1" applyAlignment="1" applyProtection="1">
      <alignment horizontal="center" vertical="center" wrapText="1"/>
      <protection hidden="1" locked="0"/>
    </xf>
    <xf numFmtId="0" fontId="13" fillId="33" borderId="15" xfId="0" applyFont="1" applyFill="1" applyBorder="1" applyAlignment="1" applyProtection="1">
      <alignment horizontal="center" vertical="center"/>
      <protection hidden="1"/>
    </xf>
    <xf numFmtId="0" fontId="13" fillId="33" borderId="23" xfId="54" applyFont="1" applyFill="1" applyBorder="1" applyAlignment="1" applyProtection="1">
      <alignment horizontal="center" vertical="center"/>
      <protection hidden="1"/>
    </xf>
    <xf numFmtId="9" fontId="3" fillId="35" borderId="10" xfId="0" applyNumberFormat="1" applyFont="1" applyFill="1" applyBorder="1" applyAlignment="1" applyProtection="1">
      <alignment horizontal="center" vertical="center"/>
      <protection hidden="1" locked="0"/>
    </xf>
    <xf numFmtId="0" fontId="17" fillId="38" borderId="0" xfId="0" applyFont="1" applyFill="1" applyAlignment="1">
      <alignment/>
    </xf>
    <xf numFmtId="0" fontId="0" fillId="38" borderId="0" xfId="0" applyFill="1" applyAlignment="1">
      <alignment vertical="center"/>
    </xf>
    <xf numFmtId="0" fontId="17" fillId="38" borderId="10" xfId="0" applyFont="1" applyFill="1" applyBorder="1" applyAlignment="1">
      <alignment vertical="center"/>
    </xf>
    <xf numFmtId="172" fontId="0" fillId="38" borderId="10" xfId="0" applyNumberFormat="1" applyFill="1" applyBorder="1" applyAlignment="1">
      <alignment horizontal="center" vertical="center"/>
    </xf>
    <xf numFmtId="0" fontId="61" fillId="34" borderId="0" xfId="0" applyFont="1" applyFill="1" applyAlignment="1" applyProtection="1">
      <alignment/>
      <protection hidden="1"/>
    </xf>
    <xf numFmtId="0" fontId="61" fillId="34" borderId="0" xfId="0" applyFont="1" applyFill="1" applyAlignment="1" applyProtection="1">
      <alignment vertical="center"/>
      <protection hidden="1"/>
    </xf>
    <xf numFmtId="2" fontId="61" fillId="34" borderId="0" xfId="0" applyNumberFormat="1" applyFont="1" applyFill="1" applyAlignment="1" applyProtection="1">
      <alignment/>
      <protection hidden="1"/>
    </xf>
    <xf numFmtId="0" fontId="61" fillId="34" borderId="0" xfId="0" applyFont="1" applyFill="1" applyBorder="1" applyAlignment="1" applyProtection="1">
      <alignment horizontal="left" vertical="center"/>
      <protection hidden="1"/>
    </xf>
    <xf numFmtId="2" fontId="61" fillId="34" borderId="0" xfId="0" applyNumberFormat="1" applyFont="1" applyFill="1" applyAlignment="1" applyProtection="1">
      <alignment horizontal="left" vertical="center"/>
      <protection hidden="1"/>
    </xf>
    <xf numFmtId="0" fontId="0" fillId="38" borderId="10" xfId="0" applyFill="1" applyBorder="1" applyAlignment="1">
      <alignment vertical="center" wrapText="1"/>
    </xf>
    <xf numFmtId="0" fontId="0" fillId="38" borderId="10" xfId="0" applyFill="1" applyBorder="1" applyAlignment="1">
      <alignment horizontal="center" vertical="center" wrapText="1"/>
    </xf>
    <xf numFmtId="0" fontId="0" fillId="38" borderId="10" xfId="0" applyFill="1" applyBorder="1" applyAlignment="1">
      <alignment/>
    </xf>
    <xf numFmtId="0" fontId="0" fillId="38" borderId="10" xfId="0" applyFill="1" applyBorder="1" applyAlignment="1">
      <alignment horizontal="center" vertical="center"/>
    </xf>
    <xf numFmtId="0" fontId="0" fillId="38" borderId="10" xfId="0" applyFill="1" applyBorder="1" applyAlignment="1">
      <alignment vertical="center"/>
    </xf>
    <xf numFmtId="0" fontId="0" fillId="38" borderId="10" xfId="0" applyFont="1" applyFill="1" applyBorder="1" applyAlignment="1">
      <alignment horizontal="center" vertical="center" wrapText="1"/>
    </xf>
    <xf numFmtId="0" fontId="16" fillId="34" borderId="10" xfId="0" applyFont="1" applyFill="1" applyBorder="1" applyAlignment="1" applyProtection="1">
      <alignment horizontal="center" vertical="center" wrapText="1"/>
      <protection hidden="1"/>
    </xf>
    <xf numFmtId="0" fontId="61" fillId="34" borderId="0" xfId="0" applyFont="1" applyFill="1" applyAlignment="1" applyProtection="1">
      <alignment horizontal="center" vertical="center"/>
      <protection hidden="1"/>
    </xf>
    <xf numFmtId="0" fontId="3" fillId="37" borderId="10" xfId="0" applyFont="1" applyFill="1" applyBorder="1" applyAlignment="1" applyProtection="1">
      <alignment vertical="center" wrapText="1"/>
      <protection hidden="1" locked="0"/>
    </xf>
    <xf numFmtId="172" fontId="7" fillId="34" borderId="10" xfId="0" applyNumberFormat="1" applyFont="1" applyFill="1" applyBorder="1" applyAlignment="1" applyProtection="1">
      <alignment horizontal="center" vertical="center"/>
      <protection hidden="1"/>
    </xf>
    <xf numFmtId="0" fontId="3" fillId="37" borderId="15" xfId="0" applyFont="1" applyFill="1" applyBorder="1" applyAlignment="1" applyProtection="1">
      <alignment horizontal="center" vertical="center" wrapText="1"/>
      <protection hidden="1" locked="0"/>
    </xf>
    <xf numFmtId="0" fontId="3" fillId="34" borderId="11" xfId="0" applyFont="1" applyFill="1" applyBorder="1" applyAlignment="1" applyProtection="1">
      <alignment vertical="center" wrapText="1"/>
      <protection hidden="1"/>
    </xf>
    <xf numFmtId="0" fontId="3" fillId="35" borderId="20" xfId="0" applyFont="1" applyFill="1" applyBorder="1" applyAlignment="1" applyProtection="1">
      <alignment horizontal="center" vertical="center"/>
      <protection hidden="1" locked="0"/>
    </xf>
    <xf numFmtId="172" fontId="3" fillId="35" borderId="10" xfId="0" applyNumberFormat="1" applyFont="1" applyFill="1" applyBorder="1" applyAlignment="1" applyProtection="1">
      <alignment horizontal="center" vertical="center"/>
      <protection hidden="1" locked="0"/>
    </xf>
    <xf numFmtId="172" fontId="3" fillId="35" borderId="11" xfId="0" applyNumberFormat="1" applyFont="1" applyFill="1" applyBorder="1" applyAlignment="1" applyProtection="1">
      <alignment horizontal="center" vertical="center" wrapText="1"/>
      <protection hidden="1" locked="0"/>
    </xf>
    <xf numFmtId="172" fontId="3" fillId="34" borderId="11" xfId="0" applyNumberFormat="1" applyFont="1" applyFill="1" applyBorder="1" applyAlignment="1" applyProtection="1">
      <alignment horizontal="center" vertical="center"/>
      <protection hidden="1"/>
    </xf>
    <xf numFmtId="0" fontId="62" fillId="34" borderId="0" xfId="0" applyFont="1" applyFill="1" applyBorder="1" applyAlignment="1" applyProtection="1">
      <alignment horizontal="right" vertical="center"/>
      <protection hidden="1"/>
    </xf>
    <xf numFmtId="0" fontId="63" fillId="34" borderId="10" xfId="0" applyFont="1" applyFill="1" applyBorder="1" applyAlignment="1" applyProtection="1">
      <alignment horizontal="center" vertical="center"/>
      <protection hidden="1"/>
    </xf>
    <xf numFmtId="1" fontId="13" fillId="33" borderId="10" xfId="0" applyNumberFormat="1" applyFont="1" applyFill="1" applyBorder="1" applyAlignment="1" applyProtection="1">
      <alignment horizontal="left" vertical="center" wrapText="1"/>
      <protection hidden="1"/>
    </xf>
    <xf numFmtId="0" fontId="3" fillId="35" borderId="10" xfId="0" applyNumberFormat="1" applyFont="1" applyFill="1" applyBorder="1" applyAlignment="1" applyProtection="1">
      <alignment horizontal="center" vertical="center" wrapText="1"/>
      <protection hidden="1" locked="0"/>
    </xf>
    <xf numFmtId="14" fontId="3" fillId="35" borderId="10" xfId="0" applyNumberFormat="1" applyFont="1" applyFill="1" applyBorder="1" applyAlignment="1" applyProtection="1">
      <alignment horizontal="center" vertical="center" wrapText="1"/>
      <protection hidden="1" locked="0"/>
    </xf>
    <xf numFmtId="172" fontId="3" fillId="37" borderId="10" xfId="0" applyNumberFormat="1" applyFont="1" applyFill="1" applyBorder="1" applyAlignment="1" applyProtection="1">
      <alignment horizontal="center" vertical="center" wrapText="1"/>
      <protection hidden="1" locked="0"/>
    </xf>
    <xf numFmtId="1" fontId="5" fillId="34" borderId="22" xfId="0" applyNumberFormat="1" applyFont="1" applyFill="1" applyBorder="1" applyAlignment="1" applyProtection="1">
      <alignment horizontal="left" vertical="center"/>
      <protection hidden="1"/>
    </xf>
    <xf numFmtId="1" fontId="5" fillId="34" borderId="24" xfId="0" applyNumberFormat="1" applyFont="1" applyFill="1" applyBorder="1" applyAlignment="1" applyProtection="1">
      <alignment horizontal="left" vertical="center"/>
      <protection hidden="1"/>
    </xf>
    <xf numFmtId="1" fontId="5" fillId="34" borderId="15" xfId="0" applyNumberFormat="1" applyFont="1" applyFill="1" applyBorder="1" applyAlignment="1" applyProtection="1">
      <alignment horizontal="left" vertical="center"/>
      <protection hidden="1"/>
    </xf>
    <xf numFmtId="1" fontId="5" fillId="34" borderId="16" xfId="0" applyNumberFormat="1" applyFont="1" applyFill="1" applyBorder="1" applyAlignment="1" applyProtection="1">
      <alignment horizontal="left" vertical="center"/>
      <protection hidden="1"/>
    </xf>
    <xf numFmtId="0" fontId="13" fillId="33" borderId="10" xfId="0" applyFont="1" applyFill="1" applyBorder="1" applyAlignment="1" applyProtection="1">
      <alignment horizontal="left" vertical="center"/>
      <protection hidden="1"/>
    </xf>
    <xf numFmtId="1" fontId="3" fillId="35" borderId="10" xfId="0" applyNumberFormat="1" applyFont="1" applyFill="1" applyBorder="1" applyAlignment="1" applyProtection="1">
      <alignment horizontal="center" vertical="center" wrapText="1"/>
      <protection hidden="1" locked="0"/>
    </xf>
    <xf numFmtId="0" fontId="14" fillId="34" borderId="0" xfId="0" applyFont="1" applyFill="1" applyAlignment="1" applyProtection="1">
      <alignment horizontal="right" vertical="center" wrapText="1"/>
      <protection hidden="1"/>
    </xf>
    <xf numFmtId="0" fontId="5" fillId="34" borderId="15" xfId="0" applyFont="1" applyFill="1" applyBorder="1" applyAlignment="1" applyProtection="1">
      <alignment horizontal="left" vertical="center"/>
      <protection hidden="1"/>
    </xf>
    <xf numFmtId="0" fontId="5" fillId="34" borderId="16" xfId="0" applyFont="1" applyFill="1" applyBorder="1" applyAlignment="1" applyProtection="1">
      <alignment horizontal="left" vertical="center"/>
      <protection hidden="1"/>
    </xf>
    <xf numFmtId="1" fontId="5" fillId="34" borderId="15" xfId="0" applyNumberFormat="1" applyFont="1" applyFill="1" applyBorder="1" applyAlignment="1" applyProtection="1">
      <alignment horizontal="left" vertical="center" wrapText="1"/>
      <protection hidden="1"/>
    </xf>
    <xf numFmtId="1" fontId="5" fillId="34" borderId="16" xfId="0" applyNumberFormat="1" applyFont="1" applyFill="1" applyBorder="1" applyAlignment="1" applyProtection="1">
      <alignment horizontal="left" vertical="center" wrapText="1"/>
      <protection hidden="1"/>
    </xf>
    <xf numFmtId="0" fontId="3" fillId="34" borderId="0" xfId="0" applyFont="1" applyFill="1" applyBorder="1" applyAlignment="1" applyProtection="1">
      <alignment horizontal="left" vertical="center" wrapText="1"/>
      <protection hidden="1"/>
    </xf>
    <xf numFmtId="0" fontId="5" fillId="39" borderId="25" xfId="0" applyFont="1" applyFill="1" applyBorder="1" applyAlignment="1" applyProtection="1">
      <alignment horizontal="right" vertical="center"/>
      <protection hidden="1"/>
    </xf>
    <xf numFmtId="0" fontId="5" fillId="39" borderId="26" xfId="0" applyFont="1" applyFill="1" applyBorder="1" applyAlignment="1" applyProtection="1">
      <alignment horizontal="right" vertical="center"/>
      <protection hidden="1"/>
    </xf>
    <xf numFmtId="0" fontId="5" fillId="39" borderId="27" xfId="0" applyFont="1" applyFill="1" applyBorder="1" applyAlignment="1" applyProtection="1">
      <alignment horizontal="right" vertical="center"/>
      <protection hidden="1"/>
    </xf>
    <xf numFmtId="0" fontId="16" fillId="34" borderId="11" xfId="0" applyFont="1" applyFill="1" applyBorder="1" applyAlignment="1" applyProtection="1">
      <alignment horizontal="center" vertical="center" textRotation="90" wrapText="1"/>
      <protection hidden="1"/>
    </xf>
    <xf numFmtId="0" fontId="16" fillId="34" borderId="20" xfId="0" applyFont="1" applyFill="1" applyBorder="1" applyAlignment="1" applyProtection="1">
      <alignment horizontal="center" vertical="center" textRotation="90" wrapText="1"/>
      <protection hidden="1"/>
    </xf>
    <xf numFmtId="0" fontId="16" fillId="34" borderId="10" xfId="0" applyFont="1" applyFill="1" applyBorder="1" applyAlignment="1" applyProtection="1">
      <alignment horizontal="center" vertical="center" textRotation="90" wrapText="1"/>
      <protection hidden="1"/>
    </xf>
    <xf numFmtId="0" fontId="3" fillId="34" borderId="28" xfId="0" applyFont="1" applyFill="1" applyBorder="1" applyAlignment="1" applyProtection="1">
      <alignment horizontal="left" vertical="center" wrapText="1"/>
      <protection hidden="1"/>
    </xf>
    <xf numFmtId="0" fontId="0" fillId="0" borderId="10" xfId="0" applyBorder="1" applyAlignment="1" applyProtection="1">
      <alignment horizontal="center"/>
      <protection hidden="1"/>
    </xf>
    <xf numFmtId="0" fontId="3" fillId="34" borderId="29" xfId="0" applyFont="1" applyFill="1" applyBorder="1" applyAlignment="1" applyProtection="1">
      <alignment horizontal="right" vertical="center" indent="1"/>
      <protection hidden="1"/>
    </xf>
    <xf numFmtId="0" fontId="3" fillId="34" borderId="16" xfId="0" applyFont="1" applyFill="1" applyBorder="1" applyAlignment="1" applyProtection="1">
      <alignment horizontal="right" vertical="center" indent="1"/>
      <protection hidden="1"/>
    </xf>
    <xf numFmtId="0" fontId="3" fillId="34" borderId="29" xfId="0" applyFont="1" applyFill="1" applyBorder="1" applyAlignment="1" applyProtection="1">
      <alignment horizontal="left" vertical="center" wrapText="1"/>
      <protection hidden="1"/>
    </xf>
    <xf numFmtId="0" fontId="0" fillId="0" borderId="29" xfId="0" applyBorder="1" applyAlignment="1">
      <alignment/>
    </xf>
    <xf numFmtId="0" fontId="0" fillId="0" borderId="16" xfId="0" applyBorder="1" applyAlignment="1">
      <alignment/>
    </xf>
    <xf numFmtId="0" fontId="3" fillId="34" borderId="15" xfId="0" applyFont="1" applyFill="1" applyBorder="1" applyAlignment="1" applyProtection="1">
      <alignment horizontal="right" vertical="center" wrapText="1" indent="1"/>
      <protection hidden="1"/>
    </xf>
    <xf numFmtId="0" fontId="3" fillId="34" borderId="29" xfId="0" applyFont="1" applyFill="1" applyBorder="1" applyAlignment="1" applyProtection="1">
      <alignment horizontal="right" vertical="center" wrapText="1" indent="1"/>
      <protection hidden="1"/>
    </xf>
    <xf numFmtId="0" fontId="3" fillId="34" borderId="16" xfId="0" applyFont="1" applyFill="1" applyBorder="1" applyAlignment="1" applyProtection="1">
      <alignment horizontal="right" vertical="center" wrapText="1" indent="1"/>
      <protection hidden="1"/>
    </xf>
    <xf numFmtId="0" fontId="3" fillId="34" borderId="15" xfId="0" applyFont="1" applyFill="1" applyBorder="1" applyAlignment="1" applyProtection="1">
      <alignment horizontal="right" vertical="center" indent="1"/>
      <protection hidden="1"/>
    </xf>
    <xf numFmtId="0" fontId="0" fillId="0" borderId="10" xfId="0" applyBorder="1" applyAlignment="1">
      <alignment/>
    </xf>
    <xf numFmtId="0" fontId="0" fillId="0" borderId="11" xfId="0" applyBorder="1" applyAlignment="1">
      <alignment/>
    </xf>
    <xf numFmtId="0" fontId="5" fillId="34" borderId="30" xfId="0" applyFont="1" applyFill="1" applyBorder="1" applyAlignment="1" applyProtection="1">
      <alignment horizontal="right" vertical="center" wrapText="1"/>
      <protection hidden="1"/>
    </xf>
    <xf numFmtId="0" fontId="3" fillId="34" borderId="10" xfId="0" applyFont="1" applyFill="1" applyBorder="1" applyAlignment="1" applyProtection="1">
      <alignment horizontal="left" vertical="center" wrapText="1"/>
      <protection hidden="1"/>
    </xf>
    <xf numFmtId="0" fontId="3" fillId="34" borderId="10" xfId="0" applyFont="1" applyFill="1" applyBorder="1" applyAlignment="1" applyProtection="1">
      <alignment horizontal="right" vertical="center" indent="1"/>
      <protection hidden="1"/>
    </xf>
    <xf numFmtId="0" fontId="3" fillId="34" borderId="15" xfId="0" applyFont="1" applyFill="1" applyBorder="1" applyAlignment="1" applyProtection="1">
      <alignment horizontal="left" vertical="center" indent="1"/>
      <protection hidden="1"/>
    </xf>
    <xf numFmtId="0" fontId="3" fillId="34" borderId="29" xfId="0" applyFont="1" applyFill="1" applyBorder="1" applyAlignment="1" applyProtection="1">
      <alignment horizontal="left" vertical="center" indent="1"/>
      <protection hidden="1"/>
    </xf>
    <xf numFmtId="0" fontId="3" fillId="34" borderId="16" xfId="0" applyFont="1" applyFill="1" applyBorder="1" applyAlignment="1" applyProtection="1">
      <alignment horizontal="left" vertical="center" indent="1"/>
      <protection hidden="1"/>
    </xf>
    <xf numFmtId="2" fontId="3" fillId="34" borderId="11" xfId="0" applyNumberFormat="1" applyFont="1" applyFill="1" applyBorder="1" applyAlignment="1" applyProtection="1">
      <alignment horizontal="center" vertical="center"/>
      <protection hidden="1"/>
    </xf>
    <xf numFmtId="2" fontId="3" fillId="34" borderId="15" xfId="0" applyNumberFormat="1" applyFont="1" applyFill="1" applyBorder="1" applyAlignment="1" applyProtection="1">
      <alignment horizontal="center" vertical="center"/>
      <protection hidden="1"/>
    </xf>
    <xf numFmtId="2" fontId="3" fillId="34" borderId="16" xfId="0" applyNumberFormat="1" applyFont="1" applyFill="1" applyBorder="1" applyAlignment="1" applyProtection="1">
      <alignment horizontal="center" vertical="center"/>
      <protection hidden="1"/>
    </xf>
    <xf numFmtId="0" fontId="10" fillId="34" borderId="31" xfId="54" applyFont="1" applyFill="1" applyBorder="1" applyAlignment="1" applyProtection="1">
      <alignment horizontal="center" vertical="center"/>
      <protection hidden="1"/>
    </xf>
    <xf numFmtId="0" fontId="10" fillId="34" borderId="32" xfId="54" applyFont="1" applyFill="1" applyBorder="1" applyAlignment="1" applyProtection="1">
      <alignment horizontal="center" vertical="center"/>
      <protection hidden="1"/>
    </xf>
    <xf numFmtId="0" fontId="16" fillId="34" borderId="18" xfId="0" applyFont="1" applyFill="1" applyBorder="1" applyAlignment="1" applyProtection="1">
      <alignment horizontal="center" vertical="center" textRotation="90" wrapText="1"/>
      <protection hidden="1"/>
    </xf>
    <xf numFmtId="0" fontId="16" fillId="34" borderId="33" xfId="0" applyFont="1" applyFill="1" applyBorder="1" applyAlignment="1" applyProtection="1">
      <alignment horizontal="center" vertical="center" textRotation="90" wrapText="1"/>
      <protection hidden="1"/>
    </xf>
    <xf numFmtId="0" fontId="16" fillId="34" borderId="24" xfId="0" applyFont="1" applyFill="1" applyBorder="1" applyAlignment="1" applyProtection="1">
      <alignment horizontal="center" vertical="center" textRotation="90" wrapText="1"/>
      <protection hidden="1"/>
    </xf>
    <xf numFmtId="0" fontId="5" fillId="34" borderId="16" xfId="0" applyFont="1" applyFill="1" applyBorder="1" applyAlignment="1" applyProtection="1">
      <alignment horizontal="right" vertical="center" wrapText="1"/>
      <protection hidden="1"/>
    </xf>
    <xf numFmtId="0" fontId="5" fillId="34" borderId="10" xfId="0" applyFont="1" applyFill="1" applyBorder="1" applyAlignment="1" applyProtection="1">
      <alignment horizontal="right" vertical="center" wrapText="1"/>
      <protection hidden="1"/>
    </xf>
    <xf numFmtId="0" fontId="13" fillId="33" borderId="14" xfId="54" applyFont="1" applyFill="1" applyBorder="1" applyAlignment="1" applyProtection="1">
      <alignment horizontal="center" vertical="center"/>
      <protection hidden="1"/>
    </xf>
    <xf numFmtId="0" fontId="13" fillId="33" borderId="34" xfId="54" applyFont="1" applyFill="1" applyBorder="1" applyAlignment="1" applyProtection="1">
      <alignment horizontal="center" vertical="center"/>
      <protection hidden="1"/>
    </xf>
    <xf numFmtId="0" fontId="0" fillId="0" borderId="20" xfId="0" applyBorder="1" applyAlignment="1">
      <alignment/>
    </xf>
    <xf numFmtId="0" fontId="0" fillId="0" borderId="19" xfId="0" applyBorder="1" applyAlignment="1">
      <alignment/>
    </xf>
    <xf numFmtId="0" fontId="4" fillId="33" borderId="15" xfId="0" applyFont="1" applyFill="1" applyBorder="1" applyAlignment="1" applyProtection="1">
      <alignment horizontal="center" vertical="center" wrapText="1"/>
      <protection hidden="1"/>
    </xf>
    <xf numFmtId="0" fontId="4" fillId="33" borderId="16" xfId="0" applyFont="1" applyFill="1" applyBorder="1" applyAlignment="1" applyProtection="1">
      <alignment horizontal="center" vertical="center" wrapText="1"/>
      <protection hidden="1"/>
    </xf>
    <xf numFmtId="0" fontId="3" fillId="34" borderId="15" xfId="0" applyFont="1" applyFill="1" applyBorder="1" applyAlignment="1" applyProtection="1">
      <alignment horizontal="left" vertical="center" wrapText="1"/>
      <protection hidden="1"/>
    </xf>
    <xf numFmtId="0" fontId="3" fillId="34" borderId="15" xfId="0" applyFont="1" applyFill="1" applyBorder="1" applyAlignment="1" applyProtection="1">
      <alignment horizontal="center" vertical="center" wrapText="1"/>
      <protection hidden="1"/>
    </xf>
    <xf numFmtId="0" fontId="3" fillId="34" borderId="29" xfId="0" applyFont="1" applyFill="1" applyBorder="1" applyAlignment="1" applyProtection="1">
      <alignment horizontal="center" vertical="center" wrapText="1"/>
      <protection hidden="1"/>
    </xf>
    <xf numFmtId="0" fontId="3" fillId="34" borderId="16" xfId="0" applyFont="1"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wrapText="1"/>
      <protection hidden="1"/>
    </xf>
    <xf numFmtId="0" fontId="3" fillId="34" borderId="30" xfId="0" applyFont="1" applyFill="1" applyBorder="1" applyAlignment="1" applyProtection="1">
      <alignment horizontal="center" vertical="center" wrapText="1"/>
      <protection hidden="1"/>
    </xf>
    <xf numFmtId="0" fontId="3" fillId="34" borderId="18" xfId="0" applyFont="1" applyFill="1" applyBorder="1" applyAlignment="1" applyProtection="1">
      <alignment horizontal="center" vertical="center" wrapText="1"/>
      <protection hidden="1"/>
    </xf>
    <xf numFmtId="0" fontId="3" fillId="34" borderId="15" xfId="0" applyFont="1" applyFill="1" applyBorder="1" applyAlignment="1" applyProtection="1">
      <alignment horizontal="left" vertical="center" wrapText="1" indent="1"/>
      <protection hidden="1"/>
    </xf>
    <xf numFmtId="0" fontId="3" fillId="34" borderId="29" xfId="0" applyFont="1" applyFill="1" applyBorder="1" applyAlignment="1" applyProtection="1">
      <alignment horizontal="left" vertical="center" wrapText="1" indent="1"/>
      <protection hidden="1"/>
    </xf>
    <xf numFmtId="0" fontId="3" fillId="34" borderId="16" xfId="0" applyFont="1" applyFill="1" applyBorder="1" applyAlignment="1" applyProtection="1">
      <alignment horizontal="left" vertical="center" wrapText="1" indent="1"/>
      <protection hidden="1"/>
    </xf>
    <xf numFmtId="0" fontId="3" fillId="34" borderId="29" xfId="0" applyFont="1" applyFill="1" applyBorder="1" applyAlignment="1" applyProtection="1">
      <alignment horizontal="center" vertical="center"/>
      <protection hidden="1"/>
    </xf>
    <xf numFmtId="0" fontId="3" fillId="34" borderId="16" xfId="0" applyFont="1" applyFill="1" applyBorder="1" applyAlignment="1" applyProtection="1">
      <alignment horizontal="center" vertical="center"/>
      <protection hidden="1"/>
    </xf>
    <xf numFmtId="0" fontId="13" fillId="33" borderId="15" xfId="0" applyFont="1" applyFill="1" applyBorder="1" applyAlignment="1" applyProtection="1">
      <alignment horizontal="center" vertical="center"/>
      <protection hidden="1"/>
    </xf>
    <xf numFmtId="0" fontId="4" fillId="33" borderId="15" xfId="0" applyFont="1" applyFill="1" applyBorder="1" applyAlignment="1" applyProtection="1">
      <alignment horizontal="left" vertical="center"/>
      <protection hidden="1"/>
    </xf>
    <xf numFmtId="0" fontId="4" fillId="33" borderId="29" xfId="0" applyFont="1" applyFill="1" applyBorder="1" applyAlignment="1" applyProtection="1">
      <alignment horizontal="left" vertical="center"/>
      <protection hidden="1"/>
    </xf>
    <xf numFmtId="0" fontId="4" fillId="33" borderId="16" xfId="0" applyFont="1" applyFill="1" applyBorder="1" applyAlignment="1" applyProtection="1">
      <alignment horizontal="left" vertical="center"/>
      <protection hidden="1"/>
    </xf>
    <xf numFmtId="0" fontId="3" fillId="34" borderId="21" xfId="0" applyFont="1" applyFill="1" applyBorder="1" applyAlignment="1" applyProtection="1">
      <alignment horizontal="right" vertical="center" wrapText="1" indent="1"/>
      <protection hidden="1"/>
    </xf>
    <xf numFmtId="0" fontId="3" fillId="34" borderId="18" xfId="0" applyFont="1" applyFill="1" applyBorder="1" applyAlignment="1" applyProtection="1">
      <alignment horizontal="right" vertical="center" wrapText="1" indent="1"/>
      <protection hidden="1"/>
    </xf>
    <xf numFmtId="0" fontId="3" fillId="34" borderId="30" xfId="0" applyFont="1" applyFill="1" applyBorder="1" applyAlignment="1" applyProtection="1">
      <alignment horizontal="right" vertical="center" wrapText="1" indent="1"/>
      <protection hidden="1"/>
    </xf>
    <xf numFmtId="0" fontId="3" fillId="34" borderId="11" xfId="0" applyFont="1" applyFill="1" applyBorder="1" applyAlignment="1" applyProtection="1">
      <alignment horizontal="left" vertical="center" wrapText="1"/>
      <protection hidden="1"/>
    </xf>
    <xf numFmtId="0" fontId="3" fillId="34" borderId="19" xfId="0" applyFont="1" applyFill="1" applyBorder="1" applyAlignment="1" applyProtection="1">
      <alignment horizontal="left" vertical="center" wrapText="1"/>
      <protection hidden="1"/>
    </xf>
    <xf numFmtId="0" fontId="4" fillId="33" borderId="10" xfId="0" applyFont="1" applyFill="1" applyBorder="1" applyAlignment="1" applyProtection="1">
      <alignment horizontal="center" vertical="center" wrapText="1"/>
      <protection hidden="1"/>
    </xf>
    <xf numFmtId="0" fontId="3" fillId="37" borderId="15" xfId="0" applyFont="1" applyFill="1" applyBorder="1" applyAlignment="1" applyProtection="1">
      <alignment horizontal="center" vertical="center" wrapText="1"/>
      <protection hidden="1" locked="0"/>
    </xf>
    <xf numFmtId="0" fontId="3" fillId="37" borderId="16" xfId="0" applyFont="1" applyFill="1" applyBorder="1" applyAlignment="1" applyProtection="1">
      <alignment horizontal="center" vertical="center" wrapText="1"/>
      <protection hidden="1" locked="0"/>
    </xf>
    <xf numFmtId="0" fontId="5" fillId="34" borderId="15" xfId="0" applyFont="1" applyFill="1" applyBorder="1" applyAlignment="1" applyProtection="1">
      <alignment horizontal="right" vertical="center" wrapText="1"/>
      <protection hidden="1"/>
    </xf>
    <xf numFmtId="0" fontId="5" fillId="34" borderId="29" xfId="0" applyFont="1" applyFill="1" applyBorder="1" applyAlignment="1" applyProtection="1">
      <alignment horizontal="right" vertical="center" wrapText="1"/>
      <protection hidden="1"/>
    </xf>
    <xf numFmtId="0" fontId="4" fillId="33" borderId="15" xfId="0" applyFont="1" applyFill="1" applyBorder="1" applyAlignment="1" applyProtection="1">
      <alignment horizontal="center" vertical="center"/>
      <protection hidden="1"/>
    </xf>
    <xf numFmtId="0" fontId="4" fillId="33" borderId="16" xfId="0" applyFont="1" applyFill="1" applyBorder="1" applyAlignment="1" applyProtection="1">
      <alignment horizontal="center" vertical="center"/>
      <protection hidden="1"/>
    </xf>
    <xf numFmtId="1" fontId="5" fillId="34" borderId="0" xfId="0" applyNumberFormat="1" applyFont="1" applyFill="1" applyBorder="1" applyAlignment="1" applyProtection="1">
      <alignment horizontal="left" vertical="center" wrapText="1"/>
      <protection hidden="1"/>
    </xf>
    <xf numFmtId="0" fontId="16" fillId="34" borderId="21" xfId="0" applyFont="1" applyFill="1" applyBorder="1" applyAlignment="1" applyProtection="1">
      <alignment horizontal="center" vertical="center" textRotation="90" wrapText="1"/>
      <protection hidden="1"/>
    </xf>
    <xf numFmtId="0" fontId="16" fillId="34" borderId="35" xfId="0" applyFont="1" applyFill="1" applyBorder="1" applyAlignment="1" applyProtection="1">
      <alignment horizontal="center" vertical="center" textRotation="90" wrapText="1"/>
      <protection hidden="1"/>
    </xf>
    <xf numFmtId="0" fontId="16" fillId="34" borderId="36" xfId="0" applyFont="1" applyFill="1" applyBorder="1" applyAlignment="1" applyProtection="1">
      <alignment horizontal="center" vertical="center" textRotation="90" wrapText="1"/>
      <protection hidden="1"/>
    </xf>
    <xf numFmtId="0" fontId="16" fillId="34" borderId="37" xfId="0" applyFont="1" applyFill="1" applyBorder="1" applyAlignment="1" applyProtection="1">
      <alignment horizontal="center" vertical="center" textRotation="90" wrapText="1"/>
      <protection hidden="1"/>
    </xf>
    <xf numFmtId="0" fontId="5" fillId="34" borderId="11" xfId="0" applyFont="1" applyFill="1" applyBorder="1" applyAlignment="1" applyProtection="1">
      <alignment horizontal="center" vertical="center"/>
      <protection hidden="1"/>
    </xf>
    <xf numFmtId="0" fontId="5" fillId="34" borderId="20" xfId="0" applyFont="1" applyFill="1" applyBorder="1" applyAlignment="1" applyProtection="1">
      <alignment horizontal="center" vertical="center"/>
      <protection hidden="1"/>
    </xf>
    <xf numFmtId="0" fontId="5" fillId="34" borderId="19" xfId="0" applyFont="1" applyFill="1" applyBorder="1" applyAlignment="1" applyProtection="1">
      <alignment horizontal="center" vertical="center"/>
      <protection hidden="1"/>
    </xf>
    <xf numFmtId="0" fontId="13" fillId="33" borderId="16" xfId="0" applyFont="1" applyFill="1" applyBorder="1" applyAlignment="1" applyProtection="1">
      <alignment horizontal="center" vertical="center"/>
      <protection hidden="1"/>
    </xf>
    <xf numFmtId="0" fontId="16" fillId="34" borderId="19" xfId="0" applyFont="1" applyFill="1" applyBorder="1" applyAlignment="1" applyProtection="1">
      <alignment horizontal="center" vertical="center" textRotation="90" wrapText="1"/>
      <protection hidden="1"/>
    </xf>
    <xf numFmtId="0" fontId="17" fillId="38" borderId="10" xfId="0" applyFont="1" applyFill="1" applyBorder="1" applyAlignment="1">
      <alignment horizontal="left" vertical="center" wrapText="1"/>
    </xf>
    <xf numFmtId="0" fontId="17" fillId="38" borderId="11" xfId="0" applyFont="1" applyFill="1" applyBorder="1" applyAlignment="1">
      <alignment horizontal="center" vertical="center" wrapText="1"/>
    </xf>
    <xf numFmtId="0" fontId="17" fillId="38" borderId="20" xfId="0" applyFont="1" applyFill="1" applyBorder="1" applyAlignment="1">
      <alignment horizontal="center" vertical="center" wrapText="1"/>
    </xf>
    <xf numFmtId="0" fontId="17" fillId="38" borderId="19" xfId="0" applyFont="1" applyFill="1" applyBorder="1" applyAlignment="1">
      <alignment horizontal="center" vertical="center" wrapText="1"/>
    </xf>
    <xf numFmtId="0" fontId="17" fillId="38" borderId="15" xfId="0" applyFont="1" applyFill="1" applyBorder="1" applyAlignment="1">
      <alignment horizontal="center" vertical="center" wrapText="1"/>
    </xf>
    <xf numFmtId="0" fontId="17" fillId="38" borderId="16" xfId="0" applyFont="1" applyFill="1" applyBorder="1" applyAlignment="1">
      <alignment horizontal="center" vertical="center" wrapText="1"/>
    </xf>
    <xf numFmtId="0" fontId="17" fillId="38" borderId="11" xfId="0" applyFont="1" applyFill="1" applyBorder="1" applyAlignment="1">
      <alignment horizontal="left" vertical="center"/>
    </xf>
    <xf numFmtId="0" fontId="17" fillId="38" borderId="19" xfId="0" applyFont="1" applyFill="1" applyBorder="1" applyAlignment="1">
      <alignment horizontal="left" vertical="center"/>
    </xf>
    <xf numFmtId="0" fontId="17" fillId="38" borderId="10" xfId="0" applyFont="1" applyFill="1" applyBorder="1" applyAlignment="1">
      <alignment horizontal="center" vertical="center" wrapText="1"/>
    </xf>
    <xf numFmtId="0" fontId="17" fillId="38" borderId="11" xfId="0" applyFont="1" applyFill="1" applyBorder="1" applyAlignment="1">
      <alignment horizontal="left" vertical="center" wrapText="1"/>
    </xf>
    <xf numFmtId="0" fontId="17" fillId="38" borderId="19" xfId="0" applyFont="1" applyFill="1" applyBorder="1" applyAlignment="1">
      <alignment horizontal="left" vertical="center" wrapText="1"/>
    </xf>
    <xf numFmtId="0" fontId="17" fillId="38" borderId="10" xfId="0" applyFont="1" applyFill="1" applyBorder="1" applyAlignment="1">
      <alignment horizontal="left" vertical="center" wrapText="1"/>
    </xf>
    <xf numFmtId="0" fontId="41" fillId="38" borderId="10" xfId="0" applyFont="1" applyFill="1" applyBorder="1" applyAlignment="1">
      <alignment horizontal="left" vertical="top" wrapText="1"/>
    </xf>
    <xf numFmtId="0" fontId="41" fillId="38" borderId="10" xfId="0" applyNumberFormat="1" applyFont="1" applyFill="1" applyBorder="1" applyAlignment="1">
      <alignment horizontal="left" vertical="top" wrapText="1"/>
    </xf>
    <xf numFmtId="0" fontId="41" fillId="38" borderId="10" xfId="0" applyFont="1" applyFill="1" applyBorder="1" applyAlignment="1">
      <alignment/>
    </xf>
    <xf numFmtId="0" fontId="41" fillId="38" borderId="15" xfId="0" applyNumberFormat="1" applyFont="1" applyFill="1" applyBorder="1" applyAlignment="1">
      <alignment horizontal="left" vertical="top" wrapText="1"/>
    </xf>
    <xf numFmtId="0" fontId="41" fillId="38" borderId="16" xfId="0" applyNumberFormat="1"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81">
    <dxf>
      <font>
        <b/>
        <i val="0"/>
        <color theme="0"/>
      </font>
      <fill>
        <patternFill>
          <bgColor indexed="11"/>
        </patternFill>
      </fill>
    </dxf>
    <dxf>
      <font>
        <b/>
        <i val="0"/>
        <color theme="0"/>
      </font>
      <fill>
        <patternFill>
          <bgColor indexed="10"/>
        </patternFill>
      </fill>
    </dxf>
    <dxf>
      <font>
        <color indexed="9"/>
      </font>
      <fill>
        <patternFill>
          <bgColor indexed="11"/>
        </patternFill>
      </fill>
    </dxf>
    <dxf>
      <font>
        <color indexed="9"/>
      </font>
      <fill>
        <patternFill>
          <bgColor indexed="10"/>
        </patternFill>
      </fill>
    </dxf>
    <dxf>
      <font>
        <color indexed="39"/>
      </font>
      <fill>
        <patternFill>
          <bgColor indexed="39"/>
        </patternFill>
      </fill>
    </dxf>
    <dxf>
      <font>
        <color indexed="55"/>
      </font>
    </dxf>
    <dxf>
      <font>
        <color indexed="39"/>
      </font>
      <fill>
        <patternFill>
          <bgColor indexed="9"/>
        </patternFill>
      </fill>
    </dxf>
    <dxf>
      <font>
        <color indexed="39"/>
      </font>
      <fill>
        <patternFill>
          <bgColor indexed="9"/>
        </patternFill>
      </fill>
    </dxf>
    <dxf>
      <font>
        <b/>
        <i val="0"/>
        <color theme="0"/>
      </font>
      <fill>
        <patternFill>
          <bgColor indexed="11"/>
        </patternFill>
      </fill>
    </dxf>
    <dxf>
      <font>
        <b/>
        <i val="0"/>
        <color theme="0"/>
      </font>
      <fill>
        <patternFill>
          <bgColor indexed="10"/>
        </patternFill>
      </fill>
    </dxf>
    <dxf>
      <font>
        <color indexed="9"/>
      </font>
      <fill>
        <patternFill>
          <bgColor indexed="11"/>
        </patternFill>
      </fill>
    </dxf>
    <dxf>
      <font>
        <color indexed="9"/>
      </font>
      <fill>
        <patternFill>
          <bgColor indexed="10"/>
        </patternFill>
      </fill>
    </dxf>
    <dxf>
      <font>
        <color indexed="39"/>
      </font>
      <fill>
        <patternFill>
          <bgColor indexed="39"/>
        </patternFill>
      </fill>
    </dxf>
    <dxf>
      <font>
        <color indexed="9"/>
      </font>
      <fill>
        <patternFill>
          <bgColor indexed="11"/>
        </patternFill>
      </fill>
    </dxf>
    <dxf>
      <font>
        <color indexed="9"/>
      </font>
      <fill>
        <patternFill>
          <bgColor indexed="10"/>
        </patternFill>
      </fill>
    </dxf>
    <dxf>
      <font>
        <color indexed="39"/>
      </font>
      <fill>
        <patternFill>
          <bgColor indexed="39"/>
        </patternFill>
      </fill>
    </dxf>
    <dxf>
      <font>
        <color indexed="39"/>
      </font>
      <fill>
        <patternFill>
          <bgColor indexed="9"/>
        </patternFill>
      </fill>
    </dxf>
    <dxf>
      <font>
        <color indexed="39"/>
      </font>
      <fill>
        <patternFill>
          <bgColor indexed="9"/>
        </patternFill>
      </fill>
    </dxf>
    <dxf>
      <font>
        <b/>
        <i val="0"/>
        <color theme="0"/>
      </font>
      <fill>
        <patternFill>
          <bgColor indexed="11"/>
        </patternFill>
      </fill>
    </dxf>
    <dxf>
      <font>
        <b/>
        <i val="0"/>
        <color theme="0"/>
      </font>
      <fill>
        <patternFill>
          <bgColor indexed="10"/>
        </patternFill>
      </fill>
    </dxf>
    <dxf>
      <font>
        <b/>
        <i val="0"/>
        <color theme="0"/>
      </font>
      <fill>
        <patternFill>
          <bgColor indexed="11"/>
        </patternFill>
      </fill>
    </dxf>
    <dxf>
      <font>
        <b/>
        <i val="0"/>
        <color theme="0"/>
      </font>
      <fill>
        <patternFill>
          <bgColor indexed="10"/>
        </patternFill>
      </fill>
    </dxf>
    <dxf>
      <font>
        <color indexed="39"/>
      </font>
      <fill>
        <patternFill>
          <bgColor indexed="39"/>
        </patternFill>
      </fill>
    </dxf>
    <dxf>
      <font>
        <color rgb="FFDDDDDD"/>
      </font>
      <fill>
        <patternFill>
          <bgColor theme="0"/>
        </patternFill>
      </fill>
    </dxf>
    <dxf>
      <font>
        <color rgb="FFDDDDDD"/>
      </font>
      <fill>
        <patternFill>
          <bgColor theme="0"/>
        </patternFill>
      </fill>
    </dxf>
    <dxf>
      <font>
        <color rgb="FFDDDDDD"/>
      </font>
      <fill>
        <patternFill>
          <bgColor theme="0"/>
        </patternFill>
      </fill>
    </dxf>
    <dxf>
      <font>
        <color rgb="FFDDDDDD"/>
      </font>
      <fill>
        <patternFill>
          <bgColor theme="0"/>
        </patternFill>
      </fill>
    </dxf>
    <dxf>
      <font>
        <color rgb="FFDDDDDD"/>
      </font>
      <fill>
        <patternFill>
          <bgColor theme="0"/>
        </patternFill>
      </fill>
    </dxf>
    <dxf>
      <font>
        <b/>
        <i val="0"/>
        <color indexed="9"/>
      </font>
      <fill>
        <patternFill>
          <bgColor rgb="FF1FB714"/>
        </patternFill>
      </fill>
    </dxf>
    <dxf>
      <font>
        <b/>
        <i val="0"/>
        <color indexed="9"/>
      </font>
      <fill>
        <patternFill>
          <bgColor rgb="FFDD0806"/>
        </patternFill>
      </fill>
    </dxf>
    <dxf>
      <font>
        <color indexed="39"/>
      </font>
      <fill>
        <patternFill>
          <bgColor indexed="39"/>
        </patternFill>
      </fill>
    </dxf>
    <dxf>
      <font>
        <color rgb="FFDDDDDD"/>
      </font>
      <fill>
        <patternFill>
          <bgColor theme="0"/>
        </patternFill>
      </fill>
    </dxf>
    <dxf>
      <font>
        <b/>
        <i val="0"/>
        <color theme="0"/>
      </font>
      <fill>
        <patternFill>
          <bgColor indexed="11"/>
        </patternFill>
      </fill>
    </dxf>
    <dxf>
      <font>
        <b/>
        <i val="0"/>
        <color theme="0"/>
      </font>
      <fill>
        <patternFill>
          <bgColor indexed="10"/>
        </patternFill>
      </fill>
    </dxf>
    <dxf>
      <font>
        <color rgb="FFDDDDDD"/>
      </font>
      <fill>
        <patternFill>
          <bgColor rgb="FFDDDDDD"/>
        </patternFill>
      </fill>
    </dxf>
    <dxf>
      <font>
        <color rgb="FFDDDDDD"/>
      </font>
      <fill>
        <patternFill>
          <bgColor theme="0"/>
        </patternFill>
      </fill>
    </dxf>
    <dxf>
      <font>
        <color rgb="FFDDDDDD"/>
      </font>
      <fill>
        <patternFill>
          <bgColor theme="0"/>
        </patternFill>
      </fill>
    </dxf>
    <dxf>
      <font>
        <b/>
        <i val="0"/>
        <color indexed="9"/>
      </font>
      <fill>
        <patternFill>
          <bgColor rgb="FF1FB714"/>
        </patternFill>
      </fill>
    </dxf>
    <dxf>
      <font>
        <b/>
        <i val="0"/>
        <color indexed="9"/>
      </font>
      <fill>
        <patternFill>
          <bgColor rgb="FFDD0806"/>
        </patternFill>
      </fill>
    </dxf>
    <dxf>
      <font>
        <color indexed="39"/>
      </font>
      <fill>
        <patternFill>
          <bgColor indexed="39"/>
        </patternFill>
      </fill>
    </dxf>
    <dxf>
      <font>
        <color indexed="39"/>
      </font>
      <fill>
        <patternFill>
          <bgColor indexed="9"/>
        </patternFill>
      </fill>
    </dxf>
    <dxf>
      <font>
        <b/>
        <i val="0"/>
        <color theme="0"/>
      </font>
      <fill>
        <patternFill>
          <bgColor indexed="11"/>
        </patternFill>
      </fill>
    </dxf>
    <dxf>
      <font>
        <b/>
        <i val="0"/>
        <color theme="0"/>
      </font>
      <fill>
        <patternFill>
          <bgColor indexed="10"/>
        </patternFill>
      </fill>
    </dxf>
    <dxf>
      <font>
        <color indexed="39"/>
      </font>
      <fill>
        <patternFill>
          <bgColor indexed="39"/>
        </patternFill>
      </fill>
    </dxf>
    <dxf>
      <font>
        <color rgb="FFDDDDDD"/>
      </font>
      <fill>
        <patternFill>
          <bgColor theme="0"/>
        </patternFill>
      </fill>
    </dxf>
    <dxf>
      <font>
        <color rgb="FFDDDDDD"/>
      </font>
      <fill>
        <patternFill>
          <bgColor theme="0"/>
        </patternFill>
      </fill>
    </dxf>
    <dxf>
      <font>
        <color rgb="FFDDDDDD"/>
      </font>
      <fill>
        <patternFill>
          <bgColor theme="0"/>
        </patternFill>
      </fill>
    </dxf>
    <dxf>
      <font>
        <b/>
        <i val="0"/>
        <color theme="0"/>
      </font>
      <fill>
        <patternFill>
          <bgColor indexed="11"/>
        </patternFill>
      </fill>
    </dxf>
    <dxf>
      <font>
        <b/>
        <i val="0"/>
        <color theme="0"/>
      </font>
      <fill>
        <patternFill>
          <bgColor indexed="10"/>
        </patternFill>
      </fill>
    </dxf>
    <dxf>
      <font>
        <strike val="0"/>
        <color rgb="FFDDDDDD"/>
      </font>
      <fill>
        <patternFill>
          <bgColor rgb="FFDDDDDD"/>
        </patternFill>
      </fill>
    </dxf>
    <dxf>
      <font>
        <b/>
        <i val="0"/>
        <color theme="0"/>
      </font>
      <fill>
        <patternFill>
          <bgColor indexed="11"/>
        </patternFill>
      </fill>
    </dxf>
    <dxf>
      <font>
        <b/>
        <i val="0"/>
        <color theme="0"/>
      </font>
      <fill>
        <patternFill>
          <bgColor indexed="10"/>
        </patternFill>
      </fill>
    </dxf>
    <dxf>
      <font>
        <b/>
        <i val="0"/>
        <color theme="0"/>
      </font>
      <fill>
        <patternFill>
          <bgColor indexed="11"/>
        </patternFill>
      </fill>
    </dxf>
    <dxf>
      <font>
        <b/>
        <i val="0"/>
        <color theme="0"/>
      </font>
      <fill>
        <patternFill>
          <bgColor indexed="10"/>
        </patternFill>
      </fill>
    </dxf>
    <dxf>
      <font>
        <color indexed="39"/>
      </font>
      <fill>
        <patternFill>
          <bgColor indexed="39"/>
        </patternFill>
      </fill>
    </dxf>
    <dxf>
      <font>
        <b/>
        <i val="0"/>
        <color theme="0"/>
      </font>
      <fill>
        <patternFill>
          <bgColor rgb="FF1FB714"/>
        </patternFill>
      </fill>
    </dxf>
    <dxf>
      <font>
        <b/>
        <i val="0"/>
        <color theme="0"/>
      </font>
      <fill>
        <patternFill>
          <bgColor rgb="FFDD0806"/>
        </patternFill>
      </fill>
    </dxf>
    <dxf>
      <font>
        <color rgb="FFDDDDDD"/>
      </font>
      <fill>
        <patternFill>
          <bgColor rgb="FFDDDDDD"/>
        </patternFill>
      </fill>
    </dxf>
    <dxf>
      <font>
        <color rgb="FFDDDDDD"/>
      </font>
      <fill>
        <patternFill>
          <bgColor theme="0"/>
        </patternFill>
      </fill>
    </dxf>
    <dxf>
      <font>
        <b/>
        <i val="0"/>
        <color theme="0"/>
      </font>
      <fill>
        <patternFill>
          <bgColor rgb="FF1FB714"/>
        </patternFill>
      </fill>
    </dxf>
    <dxf>
      <font>
        <b/>
        <i val="0"/>
        <color theme="0"/>
      </font>
      <fill>
        <patternFill>
          <bgColor rgb="FFDD0806"/>
        </patternFill>
      </fill>
    </dxf>
    <dxf>
      <font>
        <color rgb="FFDDDDDD"/>
      </font>
      <fill>
        <patternFill>
          <bgColor rgb="FFDDDDDD"/>
        </patternFill>
      </fill>
    </dxf>
    <dxf>
      <font>
        <color rgb="FFDDDDDD"/>
      </font>
      <fill>
        <patternFill>
          <bgColor theme="0"/>
        </patternFill>
      </fill>
    </dxf>
    <dxf>
      <font>
        <color rgb="FFDDDDDD"/>
      </font>
      <fill>
        <patternFill>
          <bgColor theme="0"/>
        </patternFill>
      </fill>
    </dxf>
    <dxf>
      <font>
        <b/>
        <i val="0"/>
        <color theme="0"/>
      </font>
      <fill>
        <patternFill>
          <bgColor rgb="FF1FB714"/>
        </patternFill>
      </fill>
    </dxf>
    <dxf>
      <font>
        <b/>
        <i val="0"/>
        <color theme="0"/>
      </font>
      <fill>
        <patternFill>
          <bgColor rgb="FFDD0806"/>
        </patternFill>
      </fill>
    </dxf>
    <dxf>
      <font>
        <color rgb="FFDDDDDD"/>
      </font>
      <fill>
        <patternFill>
          <bgColor rgb="FFDDDDDD"/>
        </patternFill>
      </fill>
    </dxf>
    <dxf>
      <font>
        <b/>
        <i val="0"/>
        <color indexed="9"/>
      </font>
      <fill>
        <patternFill>
          <bgColor rgb="FF1FB714"/>
        </patternFill>
      </fill>
    </dxf>
    <dxf>
      <font>
        <b/>
        <i val="0"/>
        <color indexed="9"/>
      </font>
      <fill>
        <patternFill>
          <bgColor rgb="FFDD0806"/>
        </patternFill>
      </fill>
    </dxf>
    <dxf>
      <font>
        <color indexed="39"/>
      </font>
      <fill>
        <patternFill>
          <bgColor indexed="39"/>
        </patternFill>
      </fill>
    </dxf>
    <dxf>
      <font>
        <color indexed="39"/>
      </font>
      <fill>
        <patternFill>
          <bgColor indexed="9"/>
        </patternFill>
      </fill>
    </dxf>
    <dxf>
      <font>
        <color rgb="FFDDDDDD"/>
      </font>
      <fill>
        <patternFill>
          <bgColor theme="0"/>
        </patternFill>
      </fill>
    </dxf>
    <dxf>
      <font>
        <b/>
        <i val="0"/>
        <color theme="0"/>
      </font>
      <fill>
        <patternFill>
          <bgColor indexed="11"/>
        </patternFill>
      </fill>
    </dxf>
    <dxf>
      <font>
        <b/>
        <i val="0"/>
        <color theme="0"/>
      </font>
      <fill>
        <patternFill>
          <bgColor indexed="10"/>
        </patternFill>
      </fill>
    </dxf>
    <dxf>
      <font>
        <color indexed="39"/>
      </font>
      <fill>
        <patternFill>
          <bgColor indexed="39"/>
        </patternFill>
      </fill>
    </dxf>
    <dxf>
      <font>
        <color indexed="39"/>
      </font>
      <fill>
        <patternFill>
          <bgColor indexed="9"/>
        </patternFill>
      </fill>
    </dxf>
    <dxf>
      <font>
        <b/>
        <i val="0"/>
        <color indexed="9"/>
      </font>
      <fill>
        <patternFill>
          <bgColor indexed="11"/>
        </patternFill>
      </fill>
    </dxf>
    <dxf>
      <font>
        <b/>
        <i val="0"/>
        <color indexed="9"/>
      </font>
      <fill>
        <patternFill>
          <bgColor indexed="10"/>
        </patternFill>
      </fill>
    </dxf>
    <dxf>
      <font>
        <color indexed="39"/>
      </font>
      <fill>
        <patternFill>
          <bgColor indexed="39"/>
        </patternFill>
      </fill>
    </dxf>
    <dxf>
      <font>
        <color indexed="39"/>
      </font>
      <fill>
        <patternFill>
          <bgColor indexed="9"/>
        </patternFill>
      </fill>
    </dxf>
    <dxf>
      <font>
        <b/>
        <i val="0"/>
        <color rgb="FF1FB71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0000"/>
      <rgbColor rgb="00B7CFFF"/>
      <rgbColor rgb="00628EC9"/>
      <rgbColor rgb="006778F9"/>
      <rgbColor rgb="00E0E8F4"/>
      <rgbColor rgb="00D1DEEF"/>
      <rgbColor rgb="00628EC9"/>
      <rgbColor rgb="00808000"/>
      <rgbColor rgb="00336699"/>
      <rgbColor rgb="00339933"/>
      <rgbColor rgb="002E1700"/>
      <rgbColor rgb="00D5A693"/>
      <rgbColor rgb="00C8FCCA"/>
      <rgbColor rgb="00B7CFFF"/>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3</xdr:row>
      <xdr:rowOff>9525</xdr:rowOff>
    </xdr:from>
    <xdr:to>
      <xdr:col>15</xdr:col>
      <xdr:colOff>9525</xdr:colOff>
      <xdr:row>6</xdr:row>
      <xdr:rowOff>104775</xdr:rowOff>
    </xdr:to>
    <xdr:pic>
      <xdr:nvPicPr>
        <xdr:cNvPr id="1" name="Picture 1" descr="Estidama Word (White)"/>
        <xdr:cNvPicPr preferRelativeResize="1">
          <a:picLocks noChangeAspect="1"/>
        </xdr:cNvPicPr>
      </xdr:nvPicPr>
      <xdr:blipFill>
        <a:blip r:embed="rId1"/>
        <a:stretch>
          <a:fillRect/>
        </a:stretch>
      </xdr:blipFill>
      <xdr:spPr>
        <a:xfrm>
          <a:off x="10048875" y="409575"/>
          <a:ext cx="23812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504825</xdr:colOff>
      <xdr:row>3</xdr:row>
      <xdr:rowOff>9525</xdr:rowOff>
    </xdr:from>
    <xdr:to>
      <xdr:col>13</xdr:col>
      <xdr:colOff>57150</xdr:colOff>
      <xdr:row>6</xdr:row>
      <xdr:rowOff>104775</xdr:rowOff>
    </xdr:to>
    <xdr:pic>
      <xdr:nvPicPr>
        <xdr:cNvPr id="1" name="Picture 1" descr="Estidama Word (White)"/>
        <xdr:cNvPicPr preferRelativeResize="1">
          <a:picLocks noChangeAspect="1"/>
        </xdr:cNvPicPr>
      </xdr:nvPicPr>
      <xdr:blipFill>
        <a:blip r:embed="rId1"/>
        <a:stretch>
          <a:fillRect/>
        </a:stretch>
      </xdr:blipFill>
      <xdr:spPr>
        <a:xfrm>
          <a:off x="8620125" y="400050"/>
          <a:ext cx="237172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438150</xdr:colOff>
      <xdr:row>3</xdr:row>
      <xdr:rowOff>9525</xdr:rowOff>
    </xdr:from>
    <xdr:to>
      <xdr:col>14</xdr:col>
      <xdr:colOff>95250</xdr:colOff>
      <xdr:row>6</xdr:row>
      <xdr:rowOff>104775</xdr:rowOff>
    </xdr:to>
    <xdr:pic>
      <xdr:nvPicPr>
        <xdr:cNvPr id="1" name="Picture 1" descr="Estidama Word (White)"/>
        <xdr:cNvPicPr preferRelativeResize="1">
          <a:picLocks noChangeAspect="1"/>
        </xdr:cNvPicPr>
      </xdr:nvPicPr>
      <xdr:blipFill>
        <a:blip r:embed="rId1"/>
        <a:stretch>
          <a:fillRect/>
        </a:stretch>
      </xdr:blipFill>
      <xdr:spPr>
        <a:xfrm>
          <a:off x="9906000" y="400050"/>
          <a:ext cx="238125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3</xdr:row>
      <xdr:rowOff>9525</xdr:rowOff>
    </xdr:from>
    <xdr:to>
      <xdr:col>12</xdr:col>
      <xdr:colOff>95250</xdr:colOff>
      <xdr:row>6</xdr:row>
      <xdr:rowOff>104775</xdr:rowOff>
    </xdr:to>
    <xdr:pic>
      <xdr:nvPicPr>
        <xdr:cNvPr id="1" name="Picture 1" descr="Estidama Word (White)"/>
        <xdr:cNvPicPr preferRelativeResize="1">
          <a:picLocks noChangeAspect="1"/>
        </xdr:cNvPicPr>
      </xdr:nvPicPr>
      <xdr:blipFill>
        <a:blip r:embed="rId1"/>
        <a:stretch>
          <a:fillRect/>
        </a:stretch>
      </xdr:blipFill>
      <xdr:spPr>
        <a:xfrm>
          <a:off x="8582025" y="400050"/>
          <a:ext cx="2381250"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3</xdr:row>
      <xdr:rowOff>9525</xdr:rowOff>
    </xdr:from>
    <xdr:to>
      <xdr:col>14</xdr:col>
      <xdr:colOff>85725</xdr:colOff>
      <xdr:row>6</xdr:row>
      <xdr:rowOff>104775</xdr:rowOff>
    </xdr:to>
    <xdr:pic>
      <xdr:nvPicPr>
        <xdr:cNvPr id="1" name="Picture 1" descr="Estidama Word (White)"/>
        <xdr:cNvPicPr preferRelativeResize="1">
          <a:picLocks noChangeAspect="1"/>
        </xdr:cNvPicPr>
      </xdr:nvPicPr>
      <xdr:blipFill>
        <a:blip r:embed="rId1"/>
        <a:stretch>
          <a:fillRect/>
        </a:stretch>
      </xdr:blipFill>
      <xdr:spPr>
        <a:xfrm>
          <a:off x="8658225" y="390525"/>
          <a:ext cx="2362200"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3</xdr:row>
      <xdr:rowOff>9525</xdr:rowOff>
    </xdr:from>
    <xdr:to>
      <xdr:col>13</xdr:col>
      <xdr:colOff>28575</xdr:colOff>
      <xdr:row>6</xdr:row>
      <xdr:rowOff>104775</xdr:rowOff>
    </xdr:to>
    <xdr:pic>
      <xdr:nvPicPr>
        <xdr:cNvPr id="1" name="Picture 1" descr="Estidama Word (White)"/>
        <xdr:cNvPicPr preferRelativeResize="1">
          <a:picLocks noChangeAspect="1"/>
        </xdr:cNvPicPr>
      </xdr:nvPicPr>
      <xdr:blipFill>
        <a:blip r:embed="rId1"/>
        <a:stretch>
          <a:fillRect/>
        </a:stretch>
      </xdr:blipFill>
      <xdr:spPr>
        <a:xfrm>
          <a:off x="8658225" y="390525"/>
          <a:ext cx="23812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BRS.PrescEnergy@upc.gov.ae?subject=PBRS%20RE-R1%20Prescriptive%20Pathway%20Tool%20Bu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O24"/>
  <sheetViews>
    <sheetView showRowColHeaders="0" zoomScale="85" zoomScaleNormal="85" zoomScaleSheetLayoutView="55" zoomScalePageLayoutView="0" workbookViewId="0" topLeftCell="A4">
      <selection activeCell="E9" sqref="E9"/>
    </sheetView>
  </sheetViews>
  <sheetFormatPr defaultColWidth="9.140625" defaultRowHeight="12.75"/>
  <cols>
    <col min="1" max="1" width="1.57421875" style="11" customWidth="1"/>
    <col min="2" max="3" width="1.7109375" style="11" customWidth="1"/>
    <col min="4" max="12" width="19.57421875" style="11" customWidth="1"/>
    <col min="13" max="15" width="1.7109375" style="11" customWidth="1"/>
    <col min="16" max="16384" width="9.140625" style="11" customWidth="1"/>
  </cols>
  <sheetData>
    <row r="1" ht="9" customHeight="1"/>
    <row r="2" spans="2:14" ht="9" customHeight="1">
      <c r="B2" s="12"/>
      <c r="C2" s="12"/>
      <c r="D2" s="1"/>
      <c r="E2" s="1"/>
      <c r="F2" s="1"/>
      <c r="G2" s="1"/>
      <c r="H2" s="1"/>
      <c r="I2" s="1"/>
      <c r="J2" s="1"/>
      <c r="K2" s="1"/>
      <c r="L2" s="1"/>
      <c r="M2" s="1"/>
      <c r="N2" s="1"/>
    </row>
    <row r="3" spans="2:14" ht="13.5" customHeight="1">
      <c r="B3" s="12"/>
      <c r="C3" s="12"/>
      <c r="D3" s="2"/>
      <c r="E3" s="2"/>
      <c r="F3" s="2"/>
      <c r="G3" s="1"/>
      <c r="H3" s="1"/>
      <c r="I3" s="1"/>
      <c r="J3" s="1"/>
      <c r="K3" s="1"/>
      <c r="L3" s="1"/>
      <c r="M3" s="1"/>
      <c r="N3" s="1"/>
    </row>
    <row r="4" spans="2:14" ht="13.5" customHeight="1">
      <c r="B4" s="12"/>
      <c r="C4" s="12"/>
      <c r="D4" s="2"/>
      <c r="E4" s="2"/>
      <c r="F4" s="2"/>
      <c r="G4" s="1"/>
      <c r="H4" s="1"/>
      <c r="I4" s="1"/>
      <c r="J4" s="1"/>
      <c r="K4" s="1"/>
      <c r="L4" s="1"/>
      <c r="M4" s="1"/>
      <c r="N4" s="1"/>
    </row>
    <row r="5" spans="2:15" ht="36">
      <c r="B5" s="12"/>
      <c r="C5" s="12"/>
      <c r="D5" s="4" t="s">
        <v>37</v>
      </c>
      <c r="E5" s="4"/>
      <c r="F5" s="3"/>
      <c r="G5" s="1"/>
      <c r="H5" s="1"/>
      <c r="I5" s="1"/>
      <c r="J5" s="1"/>
      <c r="K5" s="1"/>
      <c r="L5" s="1"/>
      <c r="M5" s="1"/>
      <c r="N5" s="1"/>
      <c r="O5" s="13"/>
    </row>
    <row r="6" spans="2:15" ht="27.75">
      <c r="B6" s="12"/>
      <c r="C6" s="12"/>
      <c r="D6" s="5" t="s">
        <v>7</v>
      </c>
      <c r="E6" s="5"/>
      <c r="F6" s="3"/>
      <c r="G6" s="1"/>
      <c r="H6" s="1"/>
      <c r="I6" s="1"/>
      <c r="J6" s="1"/>
      <c r="K6" s="1"/>
      <c r="L6" s="1"/>
      <c r="M6" s="1"/>
      <c r="N6" s="1"/>
      <c r="O6" s="13"/>
    </row>
    <row r="7" spans="2:15" ht="12" customHeight="1">
      <c r="B7" s="12"/>
      <c r="C7" s="12"/>
      <c r="D7" s="1"/>
      <c r="E7" s="1"/>
      <c r="F7" s="3"/>
      <c r="G7" s="1"/>
      <c r="H7" s="1"/>
      <c r="I7" s="1"/>
      <c r="J7" s="1"/>
      <c r="K7" s="1"/>
      <c r="L7" s="1"/>
      <c r="M7" s="1"/>
      <c r="N7" s="1"/>
      <c r="O7" s="13"/>
    </row>
    <row r="8" spans="2:15" ht="7.5" customHeight="1" thickBot="1">
      <c r="B8" s="12"/>
      <c r="N8" s="12"/>
      <c r="O8" s="13"/>
    </row>
    <row r="9" spans="2:15" ht="30" customHeight="1" thickBot="1">
      <c r="B9" s="12"/>
      <c r="D9" s="51" t="s">
        <v>27</v>
      </c>
      <c r="E9" s="62" t="s">
        <v>95</v>
      </c>
      <c r="F9" s="62" t="s">
        <v>96</v>
      </c>
      <c r="G9" s="62" t="s">
        <v>375</v>
      </c>
      <c r="H9" s="62" t="s">
        <v>28</v>
      </c>
      <c r="I9" s="62" t="s">
        <v>97</v>
      </c>
      <c r="J9" s="53"/>
      <c r="K9" s="49"/>
      <c r="L9" s="49"/>
      <c r="M9" s="15"/>
      <c r="N9" s="1"/>
      <c r="O9" s="13"/>
    </row>
    <row r="10" spans="2:14" ht="45" customHeight="1">
      <c r="B10" s="12"/>
      <c r="D10" s="159" t="s">
        <v>99</v>
      </c>
      <c r="E10" s="159"/>
      <c r="F10" s="159"/>
      <c r="G10" s="159"/>
      <c r="H10" s="159"/>
      <c r="I10" s="159"/>
      <c r="J10" s="159"/>
      <c r="K10" s="159"/>
      <c r="L10" s="159"/>
      <c r="N10" s="1"/>
    </row>
    <row r="11" spans="2:14" ht="39.75" customHeight="1">
      <c r="B11" s="12"/>
      <c r="D11" s="152" t="s">
        <v>6</v>
      </c>
      <c r="E11" s="152"/>
      <c r="F11" s="152"/>
      <c r="G11" s="152"/>
      <c r="H11" s="6"/>
      <c r="I11" s="144" t="s">
        <v>10</v>
      </c>
      <c r="J11" s="144"/>
      <c r="K11" s="144"/>
      <c r="L11" s="144"/>
      <c r="N11" s="12"/>
    </row>
    <row r="12" spans="2:14" ht="30" customHeight="1">
      <c r="B12" s="12"/>
      <c r="D12" s="157" t="s">
        <v>0</v>
      </c>
      <c r="E12" s="158"/>
      <c r="F12" s="153"/>
      <c r="G12" s="153"/>
      <c r="H12" s="6"/>
      <c r="I12" s="148" t="s">
        <v>2</v>
      </c>
      <c r="J12" s="149"/>
      <c r="K12" s="145"/>
      <c r="L12" s="145"/>
      <c r="N12" s="12"/>
    </row>
    <row r="13" spans="2:14" ht="30" customHeight="1">
      <c r="B13" s="12"/>
      <c r="D13" s="157" t="s">
        <v>44</v>
      </c>
      <c r="E13" s="158"/>
      <c r="F13" s="153"/>
      <c r="G13" s="153"/>
      <c r="H13" s="6"/>
      <c r="I13" s="150" t="s">
        <v>3</v>
      </c>
      <c r="J13" s="151"/>
      <c r="K13" s="145"/>
      <c r="L13" s="145"/>
      <c r="N13" s="12"/>
    </row>
    <row r="14" spans="2:14" ht="30" customHeight="1">
      <c r="B14" s="12"/>
      <c r="D14" s="157" t="s">
        <v>1</v>
      </c>
      <c r="E14" s="158"/>
      <c r="F14" s="153"/>
      <c r="G14" s="153"/>
      <c r="I14" s="150" t="s">
        <v>4</v>
      </c>
      <c r="J14" s="151"/>
      <c r="K14" s="146"/>
      <c r="L14" s="146"/>
      <c r="N14" s="12"/>
    </row>
    <row r="15" spans="2:14" ht="30" customHeight="1">
      <c r="B15" s="12"/>
      <c r="D15" s="157" t="s">
        <v>45</v>
      </c>
      <c r="E15" s="158"/>
      <c r="F15" s="153"/>
      <c r="G15" s="153"/>
      <c r="I15" s="148" t="s">
        <v>402</v>
      </c>
      <c r="J15" s="149"/>
      <c r="K15" s="145"/>
      <c r="L15" s="145"/>
      <c r="N15" s="12"/>
    </row>
    <row r="16" spans="2:14" ht="27.75" customHeight="1">
      <c r="B16" s="12"/>
      <c r="D16" s="150" t="s">
        <v>46</v>
      </c>
      <c r="E16" s="151"/>
      <c r="F16" s="153" t="s">
        <v>409</v>
      </c>
      <c r="G16" s="153"/>
      <c r="I16" s="148" t="s">
        <v>403</v>
      </c>
      <c r="J16" s="149"/>
      <c r="K16" s="145"/>
      <c r="L16" s="145"/>
      <c r="N16" s="12"/>
    </row>
    <row r="17" spans="2:14" ht="30" customHeight="1">
      <c r="B17" s="12"/>
      <c r="D17" s="155" t="s">
        <v>244</v>
      </c>
      <c r="E17" s="156"/>
      <c r="F17" s="147"/>
      <c r="G17" s="147"/>
      <c r="I17" s="148" t="s">
        <v>404</v>
      </c>
      <c r="J17" s="149"/>
      <c r="K17" s="145"/>
      <c r="L17" s="145"/>
      <c r="N17" s="12"/>
    </row>
    <row r="18" spans="2:14" ht="30" customHeight="1">
      <c r="B18" s="12"/>
      <c r="D18" s="155" t="s">
        <v>245</v>
      </c>
      <c r="E18" s="156"/>
      <c r="F18" s="147"/>
      <c r="G18" s="147"/>
      <c r="L18" s="6"/>
      <c r="N18" s="12"/>
    </row>
    <row r="19" spans="2:14" ht="30" customHeight="1">
      <c r="B19" s="12"/>
      <c r="G19" s="142">
        <f>IF(F17&gt;5000,"Please note this Prescriptive Methodology is intended for use on Buildings less than 5000m²","")</f>
      </c>
      <c r="H19" s="6"/>
      <c r="I19" s="49"/>
      <c r="J19" s="49"/>
      <c r="K19" s="49"/>
      <c r="L19" s="49"/>
      <c r="N19" s="12"/>
    </row>
    <row r="20" spans="2:14" ht="30" customHeight="1">
      <c r="B20" s="12"/>
      <c r="D20" s="154" t="s">
        <v>100</v>
      </c>
      <c r="E20" s="154"/>
      <c r="F20" s="154"/>
      <c r="G20" s="105" t="str">
        <f>IF(AND(Envelope!J24="Pass",Lighting!J34="Pass",Lighting!L55="Pass",SHW!K20="Pass",HVAC!M53="Pass",Renewables!J13="Pass"),"Pass","Fail")</f>
        <v>Fail</v>
      </c>
      <c r="H20" s="6"/>
      <c r="I20" s="49"/>
      <c r="J20" s="17"/>
      <c r="K20" s="16" t="s">
        <v>9</v>
      </c>
      <c r="L20" s="49"/>
      <c r="N20" s="12"/>
    </row>
    <row r="21" spans="2:14" ht="30" customHeight="1" thickBot="1">
      <c r="B21" s="12"/>
      <c r="G21" s="6"/>
      <c r="H21" s="6"/>
      <c r="I21" s="49"/>
      <c r="J21" s="49"/>
      <c r="K21" s="49"/>
      <c r="L21" s="49"/>
      <c r="N21" s="12"/>
    </row>
    <row r="22" spans="2:14" ht="30" customHeight="1" thickBot="1">
      <c r="B22" s="12"/>
      <c r="D22" s="35" t="s">
        <v>408</v>
      </c>
      <c r="E22" s="14"/>
      <c r="G22" s="14"/>
      <c r="H22" s="14"/>
      <c r="I22" s="10" t="s">
        <v>8</v>
      </c>
      <c r="J22" s="47" t="s">
        <v>98</v>
      </c>
      <c r="L22" s="51" t="s">
        <v>29</v>
      </c>
      <c r="N22" s="12"/>
    </row>
    <row r="23" spans="2:14" ht="8.25" customHeight="1">
      <c r="B23" s="12"/>
      <c r="J23" s="21"/>
      <c r="K23" s="21"/>
      <c r="N23" s="12"/>
    </row>
    <row r="24" spans="2:14" ht="8.25" customHeight="1">
      <c r="B24" s="12"/>
      <c r="C24" s="12"/>
      <c r="D24" s="12"/>
      <c r="E24" s="12"/>
      <c r="F24" s="12"/>
      <c r="G24" s="12"/>
      <c r="H24" s="12"/>
      <c r="I24" s="12"/>
      <c r="J24" s="12"/>
      <c r="K24" s="12"/>
      <c r="L24" s="12"/>
      <c r="M24" s="12"/>
      <c r="N24" s="12"/>
    </row>
  </sheetData>
  <sheetProtection password="C66C" sheet="1"/>
  <mergeCells count="30">
    <mergeCell ref="D20:F20"/>
    <mergeCell ref="D18:E18"/>
    <mergeCell ref="D15:E15"/>
    <mergeCell ref="D14:E14"/>
    <mergeCell ref="D10:L10"/>
    <mergeCell ref="D13:E13"/>
    <mergeCell ref="D17:E17"/>
    <mergeCell ref="D12:E12"/>
    <mergeCell ref="F15:G15"/>
    <mergeCell ref="F18:G18"/>
    <mergeCell ref="I12:J12"/>
    <mergeCell ref="I13:J13"/>
    <mergeCell ref="I14:J14"/>
    <mergeCell ref="I15:J15"/>
    <mergeCell ref="D16:E16"/>
    <mergeCell ref="D11:G11"/>
    <mergeCell ref="F12:G12"/>
    <mergeCell ref="F13:G13"/>
    <mergeCell ref="F14:G14"/>
    <mergeCell ref="F16:G16"/>
    <mergeCell ref="I11:L11"/>
    <mergeCell ref="K12:L12"/>
    <mergeCell ref="K13:L13"/>
    <mergeCell ref="K14:L14"/>
    <mergeCell ref="F17:G17"/>
    <mergeCell ref="K15:L15"/>
    <mergeCell ref="I16:J16"/>
    <mergeCell ref="K16:L16"/>
    <mergeCell ref="I17:J17"/>
    <mergeCell ref="K17:L17"/>
  </mergeCells>
  <conditionalFormatting sqref="G20">
    <cfRule type="expression" priority="5" dxfId="80" stopIfTrue="1">
      <formula>$G$20="Pass"</formula>
    </cfRule>
  </conditionalFormatting>
  <dataValidations count="3">
    <dataValidation allowBlank="1" showErrorMessage="1" promptTitle="Materials Database" prompt="Select Layer Material" sqref="D10"/>
    <dataValidation type="list" allowBlank="1" showInputMessage="1" showErrorMessage="1" sqref="F16">
      <formula1>"Click to Select,Office,Multi-Residential,Retail,School,Other,Mixed Use"</formula1>
    </dataValidation>
    <dataValidation allowBlank="1" showInputMessage="1" showErrorMessage="1" prompt="Please provide details of engineer responsible for contributing towards and reviewing Energy Prescriptive Pathway submission." sqref="K15:L17"/>
  </dataValidations>
  <hyperlinks>
    <hyperlink ref="J22" r:id="rId1" display="PBRS.PrescEnergy@upc.gov.ae"/>
    <hyperlink ref="L22" location="Envelope!A1" tooltip="Envelope" display="Next"/>
    <hyperlink ref="E9" location="Envelope!A1" tooltip="Envelope" display="Envelope"/>
    <hyperlink ref="F9" location="HVAC!A1" tooltip="HVAC" display="HVAC"/>
    <hyperlink ref="G9" location="SHW!A1" tooltip="SHW" display="SHW"/>
    <hyperlink ref="H9" location="Lighting!A1" tooltip="Lighting" display="Lighting"/>
    <hyperlink ref="I9" location="Renewables!A1" tooltip="Renewables" display="Renewables"/>
  </hyperlinks>
  <printOptions/>
  <pageMargins left="0.75" right="0.75" top="1" bottom="1" header="0.5" footer="0.5"/>
  <pageSetup fitToHeight="2" horizontalDpi="600" verticalDpi="600" orientation="landscape" paperSize="9" scale="54" r:id="rId3"/>
  <drawing r:id="rId2"/>
</worksheet>
</file>

<file path=xl/worksheets/sheet2.xml><?xml version="1.0" encoding="utf-8"?>
<worksheet xmlns="http://schemas.openxmlformats.org/spreadsheetml/2006/main" xmlns:r="http://schemas.openxmlformats.org/officeDocument/2006/relationships">
  <dimension ref="B2:N28"/>
  <sheetViews>
    <sheetView showRowColHeaders="0" zoomScale="85" zoomScaleNormal="85" zoomScaleSheetLayoutView="55" zoomScalePageLayoutView="0" workbookViewId="0" topLeftCell="A1">
      <selection activeCell="F9" sqref="F9"/>
    </sheetView>
  </sheetViews>
  <sheetFormatPr defaultColWidth="9.140625" defaultRowHeight="12.75"/>
  <cols>
    <col min="1" max="3" width="1.7109375" style="11" customWidth="1"/>
    <col min="4" max="11" width="19.421875" style="11" customWidth="1"/>
    <col min="12" max="14" width="1.7109375" style="11" customWidth="1"/>
    <col min="15" max="16384" width="9.140625" style="11" customWidth="1"/>
  </cols>
  <sheetData>
    <row r="1" ht="8.25" customHeight="1"/>
    <row r="2" spans="2:13" ht="9" customHeight="1">
      <c r="B2" s="12"/>
      <c r="C2" s="12"/>
      <c r="D2" s="1"/>
      <c r="E2" s="1"/>
      <c r="F2" s="1"/>
      <c r="G2" s="1"/>
      <c r="H2" s="1"/>
      <c r="I2" s="1"/>
      <c r="J2" s="1"/>
      <c r="K2" s="1"/>
      <c r="L2" s="1"/>
      <c r="M2" s="1"/>
    </row>
    <row r="3" spans="2:13" ht="13.5" customHeight="1">
      <c r="B3" s="12"/>
      <c r="C3" s="12"/>
      <c r="D3" s="2"/>
      <c r="E3" s="2"/>
      <c r="F3" s="2"/>
      <c r="G3" s="1"/>
      <c r="H3" s="1"/>
      <c r="I3" s="1"/>
      <c r="J3" s="1"/>
      <c r="K3" s="1"/>
      <c r="L3" s="1"/>
      <c r="M3" s="1"/>
    </row>
    <row r="4" spans="2:13" ht="13.5" customHeight="1">
      <c r="B4" s="12"/>
      <c r="C4" s="12"/>
      <c r="D4" s="2"/>
      <c r="E4" s="2"/>
      <c r="F4" s="2"/>
      <c r="G4" s="1"/>
      <c r="H4" s="1"/>
      <c r="I4" s="1"/>
      <c r="J4" s="1"/>
      <c r="K4" s="1"/>
      <c r="L4" s="1"/>
      <c r="M4" s="1"/>
    </row>
    <row r="5" spans="2:14" ht="36">
      <c r="B5" s="12"/>
      <c r="C5" s="12"/>
      <c r="D5" s="4" t="s">
        <v>38</v>
      </c>
      <c r="E5" s="4"/>
      <c r="F5" s="4"/>
      <c r="G5" s="1"/>
      <c r="H5" s="1"/>
      <c r="I5" s="1"/>
      <c r="J5" s="1"/>
      <c r="K5" s="1"/>
      <c r="L5" s="1"/>
      <c r="M5" s="1"/>
      <c r="N5" s="13"/>
    </row>
    <row r="6" spans="2:14" ht="27.75">
      <c r="B6" s="12"/>
      <c r="C6" s="12"/>
      <c r="D6" s="5"/>
      <c r="E6" s="5"/>
      <c r="F6" s="5"/>
      <c r="G6" s="1"/>
      <c r="H6" s="1"/>
      <c r="I6" s="1"/>
      <c r="J6" s="1"/>
      <c r="K6" s="1"/>
      <c r="L6" s="1"/>
      <c r="M6" s="1"/>
      <c r="N6" s="13"/>
    </row>
    <row r="7" spans="2:14" ht="12" customHeight="1">
      <c r="B7" s="12"/>
      <c r="C7" s="12"/>
      <c r="D7" s="1"/>
      <c r="E7" s="1"/>
      <c r="F7" s="1"/>
      <c r="G7" s="1"/>
      <c r="H7" s="1"/>
      <c r="I7" s="1"/>
      <c r="J7" s="1"/>
      <c r="K7" s="1"/>
      <c r="L7" s="1"/>
      <c r="M7" s="1"/>
      <c r="N7" s="13"/>
    </row>
    <row r="8" spans="2:14" ht="7.5" customHeight="1" thickBot="1">
      <c r="B8" s="12"/>
      <c r="D8" s="16"/>
      <c r="E8" s="6"/>
      <c r="F8" s="6"/>
      <c r="G8" s="6"/>
      <c r="H8" s="6"/>
      <c r="I8" s="6"/>
      <c r="J8" s="6"/>
      <c r="K8" s="15"/>
      <c r="L8" s="15"/>
      <c r="M8" s="1"/>
      <c r="N8" s="13"/>
    </row>
    <row r="9" spans="2:13" ht="30" customHeight="1" thickBot="1">
      <c r="B9" s="12"/>
      <c r="D9" s="62" t="s">
        <v>27</v>
      </c>
      <c r="E9" s="51" t="s">
        <v>95</v>
      </c>
      <c r="F9" s="62" t="s">
        <v>96</v>
      </c>
      <c r="G9" s="62" t="s">
        <v>375</v>
      </c>
      <c r="H9" s="62" t="s">
        <v>28</v>
      </c>
      <c r="I9" s="62" t="s">
        <v>97</v>
      </c>
      <c r="J9" s="31"/>
      <c r="K9" s="28"/>
      <c r="M9" s="1"/>
    </row>
    <row r="10" spans="2:13" ht="45" customHeight="1">
      <c r="B10" s="12"/>
      <c r="D10" s="166" t="s">
        <v>405</v>
      </c>
      <c r="E10" s="166"/>
      <c r="F10" s="166"/>
      <c r="G10" s="166"/>
      <c r="H10" s="166"/>
      <c r="I10" s="166"/>
      <c r="J10" s="166"/>
      <c r="K10" s="28"/>
      <c r="M10" s="12"/>
    </row>
    <row r="11" spans="2:13" ht="30" customHeight="1">
      <c r="B11" s="12"/>
      <c r="D11" s="42"/>
      <c r="E11" s="8" t="s">
        <v>40</v>
      </c>
      <c r="F11" s="8" t="s">
        <v>41</v>
      </c>
      <c r="G11" s="43" t="s">
        <v>5</v>
      </c>
      <c r="H11" s="45" t="s">
        <v>35</v>
      </c>
      <c r="I11" s="45" t="s">
        <v>64</v>
      </c>
      <c r="J11" s="45" t="s">
        <v>12</v>
      </c>
      <c r="K11" s="32"/>
      <c r="M11" s="12"/>
    </row>
    <row r="12" spans="2:13" ht="30" customHeight="1">
      <c r="B12" s="12"/>
      <c r="D12" s="163" t="s">
        <v>67</v>
      </c>
      <c r="E12" s="23" t="s">
        <v>63</v>
      </c>
      <c r="F12" s="134"/>
      <c r="G12" s="9" t="s">
        <v>32</v>
      </c>
      <c r="H12" s="18" t="str">
        <f>IF(ISERROR(IF(AND(building_type="Multi-Residential",F12="Attic and other"),0.14,VLOOKUP(F12,roof,2,FALSE))),"-",IF(AND(building_type="Multi-Residential",F12="Attic and other"),0.14,VLOOKUP(F12,roof,2,FALSE)))</f>
        <v>-</v>
      </c>
      <c r="I12" s="24"/>
      <c r="J12" s="20" t="str">
        <f>IF(AND(G12="Yes",H12&gt;=I12,I12&lt;&gt;0,H12&lt;&gt;"-"),"PASS",IF(G12="No","PASS","FAIL"))</f>
        <v>PASS</v>
      </c>
      <c r="K12" s="39"/>
      <c r="M12" s="12"/>
    </row>
    <row r="13" spans="2:13" ht="30" customHeight="1">
      <c r="B13" s="12"/>
      <c r="D13" s="164"/>
      <c r="E13" s="23" t="s">
        <v>62</v>
      </c>
      <c r="F13" s="134"/>
      <c r="G13" s="9" t="s">
        <v>32</v>
      </c>
      <c r="H13" s="18" t="str">
        <f>IF(ISERROR(VLOOKUP(F13,wall_above,2,FALSE)),"-",VLOOKUP(F13,wall_above,2,FALSE))</f>
        <v>-</v>
      </c>
      <c r="I13" s="54"/>
      <c r="J13" s="20" t="str">
        <f aca="true" t="shared" si="0" ref="J13:J22">IF(AND(G13="Yes",H13&gt;=I13,I13&lt;&gt;0,H13&lt;&gt;"-"),"PASS",IF(G13="No","PASS","FAIL"))</f>
        <v>PASS</v>
      </c>
      <c r="K13" s="39"/>
      <c r="M13" s="12"/>
    </row>
    <row r="14" spans="2:13" ht="30" customHeight="1">
      <c r="B14" s="12"/>
      <c r="D14" s="164"/>
      <c r="E14" s="23" t="s">
        <v>65</v>
      </c>
      <c r="F14" s="23" t="s">
        <v>56</v>
      </c>
      <c r="G14" s="9" t="s">
        <v>32</v>
      </c>
      <c r="H14" s="18">
        <v>5.83</v>
      </c>
      <c r="I14" s="24"/>
      <c r="J14" s="20" t="str">
        <f t="shared" si="0"/>
        <v>PASS</v>
      </c>
      <c r="K14" s="39"/>
      <c r="M14" s="12"/>
    </row>
    <row r="15" spans="2:13" ht="30" customHeight="1">
      <c r="B15" s="12"/>
      <c r="D15" s="164"/>
      <c r="E15" s="23" t="s">
        <v>88</v>
      </c>
      <c r="F15" s="134"/>
      <c r="G15" s="9" t="s">
        <v>32</v>
      </c>
      <c r="H15" s="18" t="str">
        <f>IF(ISERROR(VLOOKUP(F15,floor,2,FALSE)),"-",VLOOKUP(F15,floor,2,FALSE))</f>
        <v>-</v>
      </c>
      <c r="I15" s="24"/>
      <c r="J15" s="20" t="str">
        <f t="shared" si="0"/>
        <v>PASS</v>
      </c>
      <c r="K15" s="39"/>
      <c r="M15" s="12"/>
    </row>
    <row r="16" spans="2:13" ht="30" customHeight="1">
      <c r="B16" s="12"/>
      <c r="D16" s="164"/>
      <c r="E16" s="23" t="s">
        <v>66</v>
      </c>
      <c r="F16" s="134"/>
      <c r="G16" s="9" t="s">
        <v>32</v>
      </c>
      <c r="H16" s="18" t="str">
        <f>IF(ISERROR(VLOOKUP(F16,slab,2,FALSE)),"-",VLOOKUP(F16,slab,2,FALSE))</f>
        <v>-</v>
      </c>
      <c r="I16" s="24"/>
      <c r="J16" s="20" t="str">
        <f t="shared" si="0"/>
        <v>PASS</v>
      </c>
      <c r="K16" s="39"/>
      <c r="M16" s="12"/>
    </row>
    <row r="17" spans="2:13" ht="30" customHeight="1">
      <c r="B17" s="12"/>
      <c r="D17" s="165" t="s">
        <v>68</v>
      </c>
      <c r="E17" s="23" t="s">
        <v>84</v>
      </c>
      <c r="F17" s="23" t="s">
        <v>69</v>
      </c>
      <c r="G17" s="9" t="s">
        <v>32</v>
      </c>
      <c r="H17" s="55">
        <v>0.3</v>
      </c>
      <c r="I17" s="56"/>
      <c r="J17" s="20" t="str">
        <f>IF(AND(G17="Yes",H17&gt;=I17,I17&lt;&gt;"",H17&lt;&gt;"-"),"PASS",IF(G17="No","PASS","FAIL"))</f>
        <v>PASS</v>
      </c>
      <c r="K17" s="39"/>
      <c r="M17" s="12"/>
    </row>
    <row r="18" spans="2:13" ht="30" customHeight="1">
      <c r="B18" s="12"/>
      <c r="D18" s="165"/>
      <c r="E18" s="23" t="s">
        <v>70</v>
      </c>
      <c r="F18" s="134"/>
      <c r="G18" s="135" t="str">
        <f>G17</f>
        <v>No</v>
      </c>
      <c r="H18" s="18" t="str">
        <f>IF(ISERROR(VLOOKUP(F18,frame,2,FALSE)),"-",VLOOKUP(F18,frame,2,FALSE))</f>
        <v>-</v>
      </c>
      <c r="I18" s="24"/>
      <c r="J18" s="20" t="str">
        <f t="shared" si="0"/>
        <v>PASS</v>
      </c>
      <c r="K18" s="39"/>
      <c r="M18" s="12"/>
    </row>
    <row r="19" spans="2:13" ht="30" customHeight="1">
      <c r="B19" s="12"/>
      <c r="D19" s="165"/>
      <c r="E19" s="23" t="s">
        <v>83</v>
      </c>
      <c r="F19" s="134"/>
      <c r="G19" s="135" t="str">
        <f>G17</f>
        <v>No</v>
      </c>
      <c r="H19" s="18" t="str">
        <f>IF(ISERROR(VLOOKUP(F19,PF,2,FALSE)),"-",VLOOKUP(F19,PF,2,FALSE))</f>
        <v>-</v>
      </c>
      <c r="I19" s="24"/>
      <c r="J19" s="20" t="str">
        <f t="shared" si="0"/>
        <v>PASS</v>
      </c>
      <c r="K19" s="39"/>
      <c r="M19" s="12"/>
    </row>
    <row r="20" spans="2:13" ht="30" customHeight="1">
      <c r="B20" s="12"/>
      <c r="D20" s="165"/>
      <c r="E20" s="23" t="s">
        <v>85</v>
      </c>
      <c r="F20" s="23" t="s">
        <v>89</v>
      </c>
      <c r="G20" s="9" t="s">
        <v>32</v>
      </c>
      <c r="H20" s="55">
        <v>0.03</v>
      </c>
      <c r="I20" s="56"/>
      <c r="J20" s="20" t="str">
        <f>IF(AND(G20="Yes",H20&gt;=I20,I20&lt;&gt;"",H20&lt;&gt;"-"),"PASS",IF(G20="No","PASS","FAIL"))</f>
        <v>PASS</v>
      </c>
      <c r="K20" s="39"/>
      <c r="M20" s="12"/>
    </row>
    <row r="21" spans="2:13" ht="30" customHeight="1">
      <c r="B21" s="12"/>
      <c r="D21" s="165"/>
      <c r="E21" s="23" t="s">
        <v>86</v>
      </c>
      <c r="F21" s="23" t="s">
        <v>90</v>
      </c>
      <c r="G21" s="135" t="str">
        <f>G20</f>
        <v>No</v>
      </c>
      <c r="H21" s="18">
        <v>3.8</v>
      </c>
      <c r="I21" s="24"/>
      <c r="J21" s="20" t="str">
        <f>IF(AND(G21="Yes",H21&gt;=I21,I21&lt;&gt;0,H21&lt;&gt;"-"),"PASS",IF(G21="No","PASS","FAIL"))</f>
        <v>PASS</v>
      </c>
      <c r="K21" s="39"/>
      <c r="M21" s="12"/>
    </row>
    <row r="22" spans="2:13" ht="30" customHeight="1">
      <c r="B22" s="12"/>
      <c r="D22" s="165"/>
      <c r="E22" s="23" t="s">
        <v>87</v>
      </c>
      <c r="F22" s="23" t="s">
        <v>90</v>
      </c>
      <c r="G22" s="135" t="str">
        <f>G20</f>
        <v>No</v>
      </c>
      <c r="H22" s="18">
        <v>0.3</v>
      </c>
      <c r="I22" s="24"/>
      <c r="J22" s="20" t="str">
        <f t="shared" si="0"/>
        <v>PASS</v>
      </c>
      <c r="K22" s="39"/>
      <c r="M22" s="12"/>
    </row>
    <row r="23" spans="2:13" ht="30" customHeight="1" thickBot="1">
      <c r="B23" s="12"/>
      <c r="D23" s="132" t="s">
        <v>91</v>
      </c>
      <c r="E23" s="23" t="s">
        <v>92</v>
      </c>
      <c r="F23" s="61" t="s">
        <v>93</v>
      </c>
      <c r="G23" s="9" t="s">
        <v>32</v>
      </c>
      <c r="H23" s="18">
        <v>3.64</v>
      </c>
      <c r="I23" s="24"/>
      <c r="J23" s="20" t="str">
        <f>IF(AND(G23="Yes",H23&gt;=I23,I23&lt;&gt;0,H23&lt;&gt;"-"),"PASS",IF(G23="No","PASS","FAIL"))</f>
        <v>PASS</v>
      </c>
      <c r="K23" s="39"/>
      <c r="M23" s="12"/>
    </row>
    <row r="24" spans="2:13" ht="30" customHeight="1" thickBot="1">
      <c r="B24" s="12"/>
      <c r="D24" s="160" t="s">
        <v>39</v>
      </c>
      <c r="E24" s="161"/>
      <c r="F24" s="161"/>
      <c r="G24" s="161"/>
      <c r="H24" s="161"/>
      <c r="I24" s="162"/>
      <c r="J24" s="37" t="str">
        <f>IF(AND(J12="PASS",J13="PASS",J14="PASS",J15="PASS",J16="PASS",J17="PASS",J18="PASS",J19="PASS",J20="PASS",J21="PASS",J22="PASS",J23="PASS"),"PASS","FAIL")</f>
        <v>PASS</v>
      </c>
      <c r="K24" s="31" t="str">
        <f>IF(AND(G12="No",G13="No",G14="No",G15="No",G16="No",G17="No",G18="No",G19="No",G20="No",G21="No",G22="No",G23="No"),"No","Yes")</f>
        <v>No</v>
      </c>
      <c r="M24" s="12"/>
    </row>
    <row r="25" spans="2:13" ht="30" customHeight="1" thickBot="1">
      <c r="B25" s="12"/>
      <c r="D25" s="26"/>
      <c r="E25" s="26"/>
      <c r="F25" s="26"/>
      <c r="G25" s="6"/>
      <c r="H25" s="6"/>
      <c r="I25" s="6"/>
      <c r="J25" s="6"/>
      <c r="K25" s="15"/>
      <c r="M25" s="12"/>
    </row>
    <row r="26" spans="2:13" ht="30" customHeight="1" thickBot="1">
      <c r="B26" s="12"/>
      <c r="D26" s="51" t="s">
        <v>30</v>
      </c>
      <c r="E26" s="26"/>
      <c r="F26" s="26"/>
      <c r="G26" s="6"/>
      <c r="H26" s="6"/>
      <c r="I26" s="14"/>
      <c r="K26" s="51" t="s">
        <v>29</v>
      </c>
      <c r="M26" s="12"/>
    </row>
    <row r="27" spans="2:13" ht="8.25" customHeight="1">
      <c r="B27" s="12"/>
      <c r="D27" s="15"/>
      <c r="E27" s="15"/>
      <c r="F27" s="15"/>
      <c r="G27" s="15"/>
      <c r="H27" s="15"/>
      <c r="I27" s="33"/>
      <c r="J27" s="33"/>
      <c r="K27" s="10"/>
      <c r="M27" s="12"/>
    </row>
    <row r="28" spans="2:13" ht="8.25" customHeight="1">
      <c r="B28" s="12"/>
      <c r="C28" s="12"/>
      <c r="D28" s="12"/>
      <c r="E28" s="12"/>
      <c r="F28" s="12"/>
      <c r="G28" s="12"/>
      <c r="H28" s="12"/>
      <c r="I28" s="12"/>
      <c r="J28" s="12"/>
      <c r="K28" s="12"/>
      <c r="L28" s="12"/>
      <c r="M28" s="12"/>
    </row>
  </sheetData>
  <sheetProtection password="DAFF" sheet="1" objects="1" scenarios="1"/>
  <mergeCells count="4">
    <mergeCell ref="D24:I24"/>
    <mergeCell ref="D12:D16"/>
    <mergeCell ref="D17:D22"/>
    <mergeCell ref="D10:J10"/>
  </mergeCells>
  <conditionalFormatting sqref="K11">
    <cfRule type="expression" priority="11" dxfId="6" stopIfTrue="1">
      <formula>$J11="No"</formula>
    </cfRule>
  </conditionalFormatting>
  <conditionalFormatting sqref="J12:J23">
    <cfRule type="expression" priority="8" dxfId="4" stopIfTrue="1">
      <formula>$G12&lt;&gt;"Yes"</formula>
    </cfRule>
    <cfRule type="expression" priority="9" dxfId="77" stopIfTrue="1">
      <formula>$J12="FAIL"</formula>
    </cfRule>
    <cfRule type="expression" priority="10" dxfId="76" stopIfTrue="1">
      <formula>$J12="PASS"</formula>
    </cfRule>
  </conditionalFormatting>
  <conditionalFormatting sqref="H12:I23">
    <cfRule type="expression" priority="7" dxfId="6" stopIfTrue="1">
      <formula>$G12="No"</formula>
    </cfRule>
  </conditionalFormatting>
  <conditionalFormatting sqref="J24">
    <cfRule type="expression" priority="3" dxfId="4" stopIfTrue="1">
      <formula>$K$24="No"</formula>
    </cfRule>
    <cfRule type="expression" priority="4" dxfId="1" stopIfTrue="1">
      <formula>$J$24="FAIL"</formula>
    </cfRule>
    <cfRule type="expression" priority="5" dxfId="0" stopIfTrue="1">
      <formula>$J$24="PASS"</formula>
    </cfRule>
  </conditionalFormatting>
  <conditionalFormatting sqref="F18:F19">
    <cfRule type="expression" priority="1" dxfId="23" stopIfTrue="1">
      <formula>$G$17="No"</formula>
    </cfRule>
  </conditionalFormatting>
  <dataValidations count="8">
    <dataValidation allowBlank="1" showErrorMessage="1" promptTitle="Materials Database" prompt="Select Layer Material" sqref="D10"/>
    <dataValidation type="list" allowBlank="1" showInputMessage="1" showErrorMessage="1" sqref="G12:G17 G20 G23">
      <formula1>"Yes,No"</formula1>
    </dataValidation>
    <dataValidation type="list" allowBlank="1" showInputMessage="1" showErrorMessage="1" sqref="F12">
      <formula1>roof_type</formula1>
    </dataValidation>
    <dataValidation type="list" allowBlank="1" showInputMessage="1" showErrorMessage="1" sqref="F13">
      <formula1>wall_above_type</formula1>
    </dataValidation>
    <dataValidation type="list" allowBlank="1" showInputMessage="1" showErrorMessage="1" sqref="F15">
      <formula1>floor_type</formula1>
    </dataValidation>
    <dataValidation type="list" allowBlank="1" showInputMessage="1" showErrorMessage="1" sqref="F16">
      <formula1>slab_type</formula1>
    </dataValidation>
    <dataValidation type="list" allowBlank="1" showInputMessage="1" showErrorMessage="1" sqref="F18">
      <formula1>frame_type</formula1>
    </dataValidation>
    <dataValidation type="list" allowBlank="1" showInputMessage="1" showErrorMessage="1" promptTitle="Projection Factor" prompt="Refer to IECC, Section 502.3.2 for details on how to calculate Projection Factors" sqref="F19">
      <formula1>PF_type</formula1>
    </dataValidation>
  </dataValidations>
  <hyperlinks>
    <hyperlink ref="F9" location="HVAC!A1" tooltip="HVAC" display="HVAC"/>
    <hyperlink ref="G9" location="SHW!A1" tooltip="SHW" display="SHW"/>
    <hyperlink ref="H9" location="Lighting!A1" tooltip="Lighting" display="Lighting"/>
    <hyperlink ref="I9" location="Renewables!A1" tooltip="Renewables" display="Renewables"/>
    <hyperlink ref="D9" location="Summary!A1" tooltip="Summary" display="Summary"/>
    <hyperlink ref="D26" location="Summary!A1" tooltip="Summary" display="Previous"/>
    <hyperlink ref="K26" location="HVAC!A1" tooltip="HVAC" display="Next"/>
  </hyperlinks>
  <printOptions/>
  <pageMargins left="0.75" right="0.75" top="1" bottom="1" header="0.5" footer="0.5"/>
  <pageSetup fitToHeight="2" horizontalDpi="600" verticalDpi="600" orientation="landscape" paperSize="9" scale="54" r:id="rId2"/>
  <ignoredErrors>
    <ignoredError sqref="H16 J17 J20" formula="1"/>
  </ignoredErrors>
  <drawing r:id="rId1"/>
</worksheet>
</file>

<file path=xl/worksheets/sheet3.xml><?xml version="1.0" encoding="utf-8"?>
<worksheet xmlns="http://schemas.openxmlformats.org/spreadsheetml/2006/main" xmlns:r="http://schemas.openxmlformats.org/officeDocument/2006/relationships">
  <dimension ref="B2:S57"/>
  <sheetViews>
    <sheetView showRowColHeaders="0" zoomScale="85" zoomScaleNormal="85" zoomScaleSheetLayoutView="55" zoomScalePageLayoutView="0" workbookViewId="0" topLeftCell="A1">
      <selection activeCell="H9" sqref="H9"/>
    </sheetView>
  </sheetViews>
  <sheetFormatPr defaultColWidth="9.140625" defaultRowHeight="12.75"/>
  <cols>
    <col min="1" max="3" width="1.7109375" style="11" customWidth="1"/>
    <col min="4" max="5" width="9.8515625" style="11" customWidth="1"/>
    <col min="6" max="9" width="19.57421875" style="11" customWidth="1"/>
    <col min="10" max="11" width="19.421875" style="11" customWidth="1"/>
    <col min="12" max="13" width="19.57421875" style="11" customWidth="1"/>
    <col min="14" max="16" width="1.7109375" style="11" customWidth="1"/>
    <col min="17" max="17" width="9.140625" style="11" customWidth="1"/>
    <col min="18" max="19" width="9.140625" style="121" customWidth="1"/>
    <col min="20" max="16384" width="9.140625" style="11" customWidth="1"/>
  </cols>
  <sheetData>
    <row r="1" ht="8.25" customHeight="1"/>
    <row r="2" spans="2:15" ht="9" customHeight="1">
      <c r="B2" s="12"/>
      <c r="C2" s="12"/>
      <c r="D2" s="1"/>
      <c r="E2" s="1"/>
      <c r="F2" s="1"/>
      <c r="G2" s="1"/>
      <c r="H2" s="1"/>
      <c r="I2" s="1"/>
      <c r="J2" s="1"/>
      <c r="K2" s="1"/>
      <c r="L2" s="1"/>
      <c r="M2" s="1"/>
      <c r="N2" s="1"/>
      <c r="O2" s="1"/>
    </row>
    <row r="3" spans="2:15" ht="13.5" customHeight="1">
      <c r="B3" s="12"/>
      <c r="C3" s="12"/>
      <c r="D3" s="2"/>
      <c r="E3" s="2"/>
      <c r="F3" s="2"/>
      <c r="G3" s="2"/>
      <c r="H3" s="1"/>
      <c r="I3" s="1"/>
      <c r="J3" s="1"/>
      <c r="K3" s="1"/>
      <c r="L3" s="1"/>
      <c r="M3" s="1"/>
      <c r="N3" s="1"/>
      <c r="O3" s="1"/>
    </row>
    <row r="4" spans="2:15" ht="13.5" customHeight="1">
      <c r="B4" s="12"/>
      <c r="C4" s="12"/>
      <c r="D4" s="2"/>
      <c r="E4" s="2"/>
      <c r="F4" s="2"/>
      <c r="G4" s="2"/>
      <c r="H4" s="1"/>
      <c r="I4" s="1"/>
      <c r="J4" s="1"/>
      <c r="K4" s="1"/>
      <c r="L4" s="1"/>
      <c r="M4" s="1"/>
      <c r="N4" s="1"/>
      <c r="O4" s="1"/>
    </row>
    <row r="5" spans="2:16" ht="36">
      <c r="B5" s="12"/>
      <c r="C5" s="12"/>
      <c r="D5" s="4" t="s">
        <v>94</v>
      </c>
      <c r="E5" s="4"/>
      <c r="F5" s="4"/>
      <c r="G5" s="4"/>
      <c r="H5" s="1"/>
      <c r="I5" s="1"/>
      <c r="J5" s="1"/>
      <c r="K5" s="1"/>
      <c r="L5" s="1"/>
      <c r="M5" s="1"/>
      <c r="N5" s="1"/>
      <c r="O5" s="1"/>
      <c r="P5" s="13"/>
    </row>
    <row r="6" spans="2:16" ht="27.75">
      <c r="B6" s="12"/>
      <c r="C6" s="12"/>
      <c r="D6" s="5"/>
      <c r="E6" s="5"/>
      <c r="F6" s="5"/>
      <c r="G6" s="5"/>
      <c r="H6" s="1"/>
      <c r="I6" s="1"/>
      <c r="J6" s="1"/>
      <c r="K6" s="1"/>
      <c r="L6" s="1"/>
      <c r="M6" s="1"/>
      <c r="N6" s="1"/>
      <c r="O6" s="1"/>
      <c r="P6" s="13"/>
    </row>
    <row r="7" spans="2:16" ht="12" customHeight="1">
      <c r="B7" s="12"/>
      <c r="C7" s="12"/>
      <c r="D7" s="1"/>
      <c r="E7" s="1"/>
      <c r="F7" s="1"/>
      <c r="G7" s="1"/>
      <c r="H7" s="1"/>
      <c r="I7" s="1"/>
      <c r="J7" s="1"/>
      <c r="K7" s="1"/>
      <c r="L7" s="1"/>
      <c r="M7" s="1"/>
      <c r="N7" s="1"/>
      <c r="O7" s="1"/>
      <c r="P7" s="13"/>
    </row>
    <row r="8" spans="2:16" ht="7.5" customHeight="1" thickBot="1">
      <c r="B8" s="12"/>
      <c r="D8" s="16"/>
      <c r="E8" s="16"/>
      <c r="F8" s="6"/>
      <c r="G8" s="6"/>
      <c r="H8" s="6"/>
      <c r="I8" s="6"/>
      <c r="J8" s="6"/>
      <c r="K8" s="6"/>
      <c r="L8" s="6"/>
      <c r="M8" s="6"/>
      <c r="N8" s="15"/>
      <c r="O8" s="1"/>
      <c r="P8" s="13"/>
    </row>
    <row r="9" spans="2:19" ht="30" customHeight="1" thickBot="1">
      <c r="B9" s="12"/>
      <c r="D9" s="188" t="s">
        <v>27</v>
      </c>
      <c r="E9" s="189"/>
      <c r="F9" s="62" t="s">
        <v>95</v>
      </c>
      <c r="G9" s="51" t="s">
        <v>96</v>
      </c>
      <c r="H9" s="62" t="s">
        <v>375</v>
      </c>
      <c r="I9" s="62" t="s">
        <v>28</v>
      </c>
      <c r="J9" s="62" t="s">
        <v>97</v>
      </c>
      <c r="L9" s="30"/>
      <c r="M9" s="31"/>
      <c r="O9" s="1"/>
      <c r="R9" s="121" t="s">
        <v>309</v>
      </c>
      <c r="S9" s="121" t="s">
        <v>312</v>
      </c>
    </row>
    <row r="10" spans="2:19" ht="30" customHeight="1">
      <c r="B10" s="12"/>
      <c r="D10" s="166" t="s">
        <v>374</v>
      </c>
      <c r="E10" s="166"/>
      <c r="F10" s="166"/>
      <c r="G10" s="166"/>
      <c r="H10" s="166"/>
      <c r="I10" s="166"/>
      <c r="J10" s="166"/>
      <c r="K10" s="166"/>
      <c r="L10" s="166"/>
      <c r="M10" s="166"/>
      <c r="O10" s="12"/>
      <c r="R10" s="121" t="s">
        <v>310</v>
      </c>
      <c r="S10" s="121" t="s">
        <v>313</v>
      </c>
    </row>
    <row r="11" spans="2:19" ht="30" customHeight="1">
      <c r="B11" s="12"/>
      <c r="D11" s="213"/>
      <c r="E11" s="172"/>
      <c r="F11" s="43" t="s">
        <v>5</v>
      </c>
      <c r="G11" s="8" t="s">
        <v>246</v>
      </c>
      <c r="H11" s="43" t="s">
        <v>247</v>
      </c>
      <c r="I11" s="43" t="s">
        <v>307</v>
      </c>
      <c r="J11" s="199" t="s">
        <v>35</v>
      </c>
      <c r="K11" s="200"/>
      <c r="L11" s="45" t="s">
        <v>64</v>
      </c>
      <c r="M11" s="45" t="s">
        <v>12</v>
      </c>
      <c r="O11" s="12"/>
      <c r="R11" s="121" t="s">
        <v>311</v>
      </c>
      <c r="S11" s="121" t="s">
        <v>314</v>
      </c>
    </row>
    <row r="12" spans="2:15" ht="30" customHeight="1">
      <c r="B12" s="12"/>
      <c r="D12" s="165" t="s">
        <v>323</v>
      </c>
      <c r="E12" s="190" t="s">
        <v>326</v>
      </c>
      <c r="F12" s="201" t="s">
        <v>306</v>
      </c>
      <c r="G12" s="171"/>
      <c r="H12" s="171"/>
      <c r="I12" s="171"/>
      <c r="J12" s="171"/>
      <c r="K12" s="171"/>
      <c r="L12" s="171"/>
      <c r="M12" s="172"/>
      <c r="O12" s="12"/>
    </row>
    <row r="13" spans="2:19" ht="30" customHeight="1">
      <c r="B13" s="12"/>
      <c r="D13" s="177"/>
      <c r="E13" s="191"/>
      <c r="F13" s="9" t="s">
        <v>32</v>
      </c>
      <c r="G13" s="102"/>
      <c r="H13" s="103"/>
      <c r="I13" s="75" t="s">
        <v>227</v>
      </c>
      <c r="J13" s="186">
        <f>IF(ISERROR(IF(R13="ttw_ac",Reference!J11,IF(R13="ac_ac",VLOOKUP(H13,ac_ac_full,3,FALSE),VLOOKUP(H13,ac_wec_full,3,FALSE)))),0,IF(R13="ttw_ac",Reference!J11,IF(R13="ac_ac",VLOOKUP(H13,ac_ac_full,3,FALSE),VLOOKUP(H13,ac_wec_full,3,FALSE))))</f>
        <v>0</v>
      </c>
      <c r="K13" s="187"/>
      <c r="L13" s="54"/>
      <c r="M13" s="20" t="str">
        <f>IF(AND(F13="Yes",J13&lt;&gt;0,ROUND(LEFT(J13,4),2)&lt;=L13,L13&lt;&gt;0),"PASS",IF(F13="No","PASS","FAIL"))</f>
        <v>PASS</v>
      </c>
      <c r="O13" s="12"/>
      <c r="R13" s="122" t="str">
        <f>IF(ISERROR(VLOOKUP(G13,R8:S11,2,FALSE)),"-",VLOOKUP(G13,R8:S11,2,FALSE))</f>
        <v>-</v>
      </c>
      <c r="S13" s="123"/>
    </row>
    <row r="14" spans="2:19" ht="30" customHeight="1">
      <c r="B14" s="12"/>
      <c r="D14" s="177"/>
      <c r="E14" s="191"/>
      <c r="F14" s="202"/>
      <c r="G14" s="203"/>
      <c r="H14" s="203"/>
      <c r="I14" s="204"/>
      <c r="J14" s="186">
        <f>IF(AND(F13="Yes",R14="Yes",H13="&gt; 70kW and &lt; 223kW"),"9.70 IPLV",IF(AND(F13="Yes",R14="Yes",H13="&gt; 223kW"),"9.40 IPLV",0))</f>
        <v>0</v>
      </c>
      <c r="K14" s="187"/>
      <c r="L14" s="54"/>
      <c r="M14" s="20" t="str">
        <f>IF(AND(F13="Yes",R14="Yes",J14&lt;&gt;0,ROUND(LEFT(J14,4),2)&lt;=L14,L14&lt;&gt;0),"PASS",IF(F13="No","PASS",IF(R14="No","PASS","FAIL")))</f>
        <v>PASS</v>
      </c>
      <c r="O14" s="12"/>
      <c r="R14" s="122" t="str">
        <f>IF(AND(F13="Yes",R13="ac_ac",OR(H13="&gt; 70kW and &lt; 223Kw",H13="&gt; 223kW")),"Yes","No")</f>
        <v>No</v>
      </c>
      <c r="S14" s="123"/>
    </row>
    <row r="15" spans="2:15" ht="30" customHeight="1">
      <c r="B15" s="12"/>
      <c r="D15" s="177"/>
      <c r="E15" s="191"/>
      <c r="F15" s="201" t="s">
        <v>318</v>
      </c>
      <c r="G15" s="171"/>
      <c r="H15" s="171"/>
      <c r="I15" s="171"/>
      <c r="J15" s="171"/>
      <c r="K15" s="171"/>
      <c r="L15" s="171"/>
      <c r="M15" s="172"/>
      <c r="O15" s="12"/>
    </row>
    <row r="16" spans="2:18" ht="30" customHeight="1">
      <c r="B16" s="12"/>
      <c r="D16" s="177"/>
      <c r="E16" s="191"/>
      <c r="F16" s="9" t="s">
        <v>32</v>
      </c>
      <c r="G16" s="102"/>
      <c r="H16" s="103"/>
      <c r="I16" s="75" t="s">
        <v>227</v>
      </c>
      <c r="J16" s="186">
        <f>IF(ISERROR(IF(R16="ac_cm",VLOOKUP(H16,ac_cm_full,3,FALSE),IF(R16="&lt; 9kW",Reference!J22,))),0,IF(R16="ac_cm",VLOOKUP(H16,ac_cm_full,3,FALSE),IF(R16="&lt; 9kW",Reference!J22,)))</f>
        <v>0</v>
      </c>
      <c r="K16" s="187"/>
      <c r="L16" s="24"/>
      <c r="M16" s="20" t="str">
        <f>IF(AND(F16="Yes",J16&lt;&gt;0,ROUND(LEFT(J16,4),2)&lt;=L16,L16&lt;&gt;0),"PASS",IF(F16="No","PASS","FAIL"))</f>
        <v>PASS</v>
      </c>
      <c r="O16" s="12"/>
      <c r="R16" s="122" t="str">
        <f>IF(G16="Air cooled","ac_cm",IF(G16="Through-the-Wall","&lt; 9kW","-"))</f>
        <v>-</v>
      </c>
    </row>
    <row r="17" spans="2:18" ht="30" customHeight="1">
      <c r="B17" s="12"/>
      <c r="D17" s="177"/>
      <c r="E17" s="191"/>
      <c r="F17" s="202"/>
      <c r="G17" s="203"/>
      <c r="H17" s="203"/>
      <c r="I17" s="204"/>
      <c r="J17" s="186">
        <f>IF(AND(F16="Yes",R17="Yes",H16="&gt; 70kW"),"9.20 IPLV",0)</f>
        <v>0</v>
      </c>
      <c r="K17" s="187"/>
      <c r="L17" s="54"/>
      <c r="M17" s="20" t="str">
        <f>IF(AND(F16="Yes",R17="Yes",J17&lt;&gt;0,ROUND(LEFT(J17,4),2)&lt;=L17,L17&lt;&gt;0),"PASS",IF(F16="No","PASS",IF(R17="No","PASS","FAIL")))</f>
        <v>PASS</v>
      </c>
      <c r="O17" s="12"/>
      <c r="R17" s="122" t="str">
        <f>IF(AND(F16="Yes",R16="ac_cm",H16="&gt; 70kW"),"Yes","No")</f>
        <v>No</v>
      </c>
    </row>
    <row r="18" spans="2:15" ht="30" customHeight="1">
      <c r="B18" s="12"/>
      <c r="D18" s="177"/>
      <c r="E18" s="191"/>
      <c r="F18" s="201" t="s">
        <v>319</v>
      </c>
      <c r="G18" s="171"/>
      <c r="H18" s="171"/>
      <c r="I18" s="171"/>
      <c r="J18" s="171"/>
      <c r="K18" s="171"/>
      <c r="L18" s="171"/>
      <c r="M18" s="172"/>
      <c r="O18" s="12"/>
    </row>
    <row r="19" spans="2:15" ht="30" customHeight="1">
      <c r="B19" s="12"/>
      <c r="D19" s="177"/>
      <c r="E19" s="191"/>
      <c r="F19" s="9" t="s">
        <v>32</v>
      </c>
      <c r="G19" s="102"/>
      <c r="H19" s="75" t="s">
        <v>227</v>
      </c>
      <c r="I19" s="100"/>
      <c r="J19" s="186">
        <f>IF(I19=0,0,IF(I19&lt;7000,ROUND(12.5-(0.213*7),2)&amp;" EER",IF(I19&gt;15000,12.5-(0.213*15)&amp;" EER",ROUND(12.5-(0.213*I19/1000),2)&amp;" EER")))</f>
        <v>0</v>
      </c>
      <c r="K19" s="187"/>
      <c r="L19" s="24"/>
      <c r="M19" s="20" t="str">
        <f>IF(AND(F19="Yes",ROUND(LEFT(J19,4),2)&lt;=L19,L19&lt;&gt;0,I19&lt;&gt;0),"PASS",IF(F19="No","PASS","FAIL"))</f>
        <v>PASS</v>
      </c>
      <c r="O19" s="12"/>
    </row>
    <row r="20" spans="2:15" ht="30" customHeight="1">
      <c r="B20" s="12"/>
      <c r="D20" s="177"/>
      <c r="E20" s="191"/>
      <c r="F20" s="201" t="s">
        <v>320</v>
      </c>
      <c r="G20" s="171"/>
      <c r="H20" s="171"/>
      <c r="I20" s="171"/>
      <c r="J20" s="171"/>
      <c r="K20" s="171"/>
      <c r="L20" s="171"/>
      <c r="M20" s="172"/>
      <c r="O20" s="12"/>
    </row>
    <row r="21" spans="2:15" ht="30" customHeight="1">
      <c r="B21" s="12"/>
      <c r="D21" s="177"/>
      <c r="E21" s="191"/>
      <c r="F21" s="104" t="s">
        <v>32</v>
      </c>
      <c r="G21" s="41" t="s">
        <v>321</v>
      </c>
      <c r="H21" s="75" t="s">
        <v>227</v>
      </c>
      <c r="I21" s="102"/>
      <c r="J21" s="186">
        <f>IF(I21=0,0,"2.80 CoP")</f>
        <v>0</v>
      </c>
      <c r="K21" s="187"/>
      <c r="L21" s="24"/>
      <c r="M21" s="20" t="str">
        <f>IF(AND(F21="Yes",ROUND(LEFT(J21,4),2)&lt;=L21,L21&lt;&gt;0,I21&lt;&gt;0),"PASS",IF(F21="No","PASS","FAIL"))</f>
        <v>PASS</v>
      </c>
      <c r="O21" s="12"/>
    </row>
    <row r="22" spans="2:18" ht="30" customHeight="1">
      <c r="B22" s="12"/>
      <c r="D22" s="177"/>
      <c r="E22" s="192"/>
      <c r="F22" s="205"/>
      <c r="G22" s="206"/>
      <c r="H22" s="206"/>
      <c r="I22" s="207"/>
      <c r="J22" s="185">
        <f>IF(AND(F21="Yes",I21="&lt; 150 tons"),"12.50 IPLV",IF(AND(F21="Yes",I21="&gt; 150 tons"),"12.75 IPLV",0))</f>
        <v>0</v>
      </c>
      <c r="K22" s="185"/>
      <c r="L22" s="106"/>
      <c r="M22" s="22" t="str">
        <f>IF(AND(F21="Yes",R22="Yes",J22&lt;&gt;0,ROUND(LEFT(J22,5),2)&lt;=L22,L22&lt;&gt;0),"PASS",IF(F21="No","PASS",IF(R22="No","PASS","FAIL")))</f>
        <v>PASS</v>
      </c>
      <c r="O22" s="12"/>
      <c r="R22" s="122" t="str">
        <f>IF(F21="Yes","Yes","No")</f>
        <v>No</v>
      </c>
    </row>
    <row r="23" spans="2:18" ht="30" customHeight="1">
      <c r="B23" s="12"/>
      <c r="D23" s="177"/>
      <c r="E23" s="193" t="s">
        <v>324</v>
      </c>
      <c r="F23" s="194"/>
      <c r="G23" s="194"/>
      <c r="H23" s="194"/>
      <c r="I23" s="194"/>
      <c r="J23" s="194"/>
      <c r="K23" s="194"/>
      <c r="L23" s="194"/>
      <c r="M23" s="38" t="str">
        <f>IF(AND(M13="PASS",M14="PASS",M16="PASS",M17="PASS",M19="PASS",M21="PASS",M22="PASS"),"PASS","FAIL")</f>
        <v>PASS</v>
      </c>
      <c r="O23" s="12"/>
      <c r="R23" s="124" t="str">
        <f>IF(AND(F13="No",F19="No",F16="No",F21="No"),"No","Yes")</f>
        <v>No</v>
      </c>
    </row>
    <row r="24" spans="2:18" ht="30" customHeight="1">
      <c r="B24" s="12"/>
      <c r="D24" s="177"/>
      <c r="E24" s="163" t="s">
        <v>360</v>
      </c>
      <c r="F24" s="214" t="s">
        <v>362</v>
      </c>
      <c r="G24" s="215"/>
      <c r="H24" s="216"/>
      <c r="I24" s="43" t="s">
        <v>5</v>
      </c>
      <c r="J24" s="199" t="s">
        <v>35</v>
      </c>
      <c r="K24" s="200"/>
      <c r="L24" s="45" t="s">
        <v>64</v>
      </c>
      <c r="M24" s="45" t="s">
        <v>12</v>
      </c>
      <c r="O24" s="12"/>
      <c r="R24" s="124"/>
    </row>
    <row r="25" spans="2:18" ht="30" customHeight="1">
      <c r="B25" s="12"/>
      <c r="D25" s="177"/>
      <c r="E25" s="164"/>
      <c r="F25" s="180" t="s">
        <v>351</v>
      </c>
      <c r="G25" s="180"/>
      <c r="H25" s="180"/>
      <c r="I25" s="9" t="s">
        <v>32</v>
      </c>
      <c r="J25" s="186">
        <f aca="true" t="shared" si="0" ref="J25:J33">IF(I25="Yes",VLOOKUP(F25,fan_power,2,FALSE)&amp;" W/l/s",0)</f>
        <v>0</v>
      </c>
      <c r="K25" s="187"/>
      <c r="L25" s="54"/>
      <c r="M25" s="20" t="str">
        <f>IF(AND(I25="Yes",L25&lt;&gt;0,L25&lt;=J25),"PASS",IF(I25="No","PASS","FAIL"))</f>
        <v>PASS</v>
      </c>
      <c r="O25" s="12"/>
      <c r="R25" s="124"/>
    </row>
    <row r="26" spans="2:18" ht="30" customHeight="1">
      <c r="B26" s="12"/>
      <c r="D26" s="177"/>
      <c r="E26" s="164"/>
      <c r="F26" s="180" t="s">
        <v>352</v>
      </c>
      <c r="G26" s="180"/>
      <c r="H26" s="180"/>
      <c r="I26" s="9" t="s">
        <v>32</v>
      </c>
      <c r="J26" s="186">
        <f t="shared" si="0"/>
        <v>0</v>
      </c>
      <c r="K26" s="187"/>
      <c r="L26" s="54"/>
      <c r="M26" s="20" t="str">
        <f aca="true" t="shared" si="1" ref="M26:M33">IF(AND(I26="Yes",L26&lt;&gt;0,L26&lt;=J26),"PASS",IF(I26="No","PASS","FAIL"))</f>
        <v>PASS</v>
      </c>
      <c r="O26" s="12"/>
      <c r="R26" s="124"/>
    </row>
    <row r="27" spans="2:18" ht="30" customHeight="1">
      <c r="B27" s="12"/>
      <c r="D27" s="177"/>
      <c r="E27" s="164"/>
      <c r="F27" s="180" t="s">
        <v>353</v>
      </c>
      <c r="G27" s="180"/>
      <c r="H27" s="180"/>
      <c r="I27" s="9" t="s">
        <v>32</v>
      </c>
      <c r="J27" s="186">
        <f t="shared" si="0"/>
        <v>0</v>
      </c>
      <c r="K27" s="187"/>
      <c r="L27" s="54"/>
      <c r="M27" s="20" t="str">
        <f t="shared" si="1"/>
        <v>PASS</v>
      </c>
      <c r="O27" s="12"/>
      <c r="R27" s="124"/>
    </row>
    <row r="28" spans="2:18" ht="30" customHeight="1">
      <c r="B28" s="12"/>
      <c r="D28" s="177"/>
      <c r="E28" s="164"/>
      <c r="F28" s="180" t="s">
        <v>354</v>
      </c>
      <c r="G28" s="180"/>
      <c r="H28" s="180"/>
      <c r="I28" s="9" t="s">
        <v>32</v>
      </c>
      <c r="J28" s="186">
        <f t="shared" si="0"/>
        <v>0</v>
      </c>
      <c r="K28" s="187"/>
      <c r="L28" s="54"/>
      <c r="M28" s="20" t="str">
        <f t="shared" si="1"/>
        <v>PASS</v>
      </c>
      <c r="O28" s="12"/>
      <c r="R28" s="124"/>
    </row>
    <row r="29" spans="2:18" ht="30" customHeight="1">
      <c r="B29" s="12"/>
      <c r="D29" s="177"/>
      <c r="E29" s="164"/>
      <c r="F29" s="180" t="s">
        <v>355</v>
      </c>
      <c r="G29" s="180"/>
      <c r="H29" s="180"/>
      <c r="I29" s="9" t="s">
        <v>32</v>
      </c>
      <c r="J29" s="186">
        <f t="shared" si="0"/>
        <v>0</v>
      </c>
      <c r="K29" s="187"/>
      <c r="L29" s="54"/>
      <c r="M29" s="20" t="str">
        <f t="shared" si="1"/>
        <v>PASS</v>
      </c>
      <c r="O29" s="12"/>
      <c r="R29" s="124"/>
    </row>
    <row r="30" spans="2:18" ht="30" customHeight="1">
      <c r="B30" s="12"/>
      <c r="D30" s="177"/>
      <c r="E30" s="164"/>
      <c r="F30" s="180" t="s">
        <v>356</v>
      </c>
      <c r="G30" s="180"/>
      <c r="H30" s="180"/>
      <c r="I30" s="9" t="s">
        <v>32</v>
      </c>
      <c r="J30" s="186">
        <f t="shared" si="0"/>
        <v>0</v>
      </c>
      <c r="K30" s="187"/>
      <c r="L30" s="54"/>
      <c r="M30" s="20" t="str">
        <f t="shared" si="1"/>
        <v>PASS</v>
      </c>
      <c r="O30" s="12"/>
      <c r="R30" s="124"/>
    </row>
    <row r="31" spans="2:18" ht="30" customHeight="1">
      <c r="B31" s="12"/>
      <c r="D31" s="177"/>
      <c r="E31" s="164"/>
      <c r="F31" s="180" t="s">
        <v>357</v>
      </c>
      <c r="G31" s="180"/>
      <c r="H31" s="180"/>
      <c r="I31" s="9" t="s">
        <v>32</v>
      </c>
      <c r="J31" s="186">
        <f t="shared" si="0"/>
        <v>0</v>
      </c>
      <c r="K31" s="187"/>
      <c r="L31" s="54"/>
      <c r="M31" s="20" t="str">
        <f t="shared" si="1"/>
        <v>PASS</v>
      </c>
      <c r="O31" s="12"/>
      <c r="R31" s="124"/>
    </row>
    <row r="32" spans="2:18" ht="30" customHeight="1">
      <c r="B32" s="12"/>
      <c r="D32" s="177"/>
      <c r="E32" s="164"/>
      <c r="F32" s="180" t="s">
        <v>358</v>
      </c>
      <c r="G32" s="180"/>
      <c r="H32" s="180"/>
      <c r="I32" s="9" t="s">
        <v>32</v>
      </c>
      <c r="J32" s="186">
        <f t="shared" si="0"/>
        <v>0</v>
      </c>
      <c r="K32" s="187"/>
      <c r="L32" s="54"/>
      <c r="M32" s="20" t="str">
        <f t="shared" si="1"/>
        <v>PASS</v>
      </c>
      <c r="O32" s="12"/>
      <c r="R32" s="124"/>
    </row>
    <row r="33" spans="2:18" ht="30" customHeight="1">
      <c r="B33" s="12"/>
      <c r="D33" s="177"/>
      <c r="E33" s="164"/>
      <c r="F33" s="180" t="s">
        <v>359</v>
      </c>
      <c r="G33" s="180"/>
      <c r="H33" s="180"/>
      <c r="I33" s="9" t="s">
        <v>32</v>
      </c>
      <c r="J33" s="186">
        <f t="shared" si="0"/>
        <v>0</v>
      </c>
      <c r="K33" s="187"/>
      <c r="L33" s="54"/>
      <c r="M33" s="20" t="str">
        <f t="shared" si="1"/>
        <v>PASS</v>
      </c>
      <c r="O33" s="12"/>
      <c r="R33" s="124"/>
    </row>
    <row r="34" spans="2:18" ht="30" customHeight="1">
      <c r="B34" s="12"/>
      <c r="D34" s="177"/>
      <c r="E34" s="193" t="s">
        <v>361</v>
      </c>
      <c r="F34" s="194"/>
      <c r="G34" s="194"/>
      <c r="H34" s="194"/>
      <c r="I34" s="194"/>
      <c r="J34" s="194"/>
      <c r="K34" s="194"/>
      <c r="L34" s="194"/>
      <c r="M34" s="38" t="str">
        <f>IF(AND(M25="PASS",M26="PASS",M27="PASS",M28="PASS",M29="PASS",M30="PASS",M31="PASS",M32="PASS",M33="PASS"),"PASS","FAIL")</f>
        <v>PASS</v>
      </c>
      <c r="O34" s="12"/>
      <c r="R34" s="124" t="str">
        <f>IF(AND(I25="No",I27="No",I26="No",I28="No",I29="No",I30="No",I31="No",I32="No",I33="No"),"No","Yes")</f>
        <v>No</v>
      </c>
    </row>
    <row r="35" spans="2:18" ht="30" customHeight="1">
      <c r="B35" s="12"/>
      <c r="D35" s="177"/>
      <c r="E35" s="163" t="s">
        <v>325</v>
      </c>
      <c r="F35" s="180" t="s">
        <v>332</v>
      </c>
      <c r="G35" s="177"/>
      <c r="H35" s="177"/>
      <c r="I35" s="177"/>
      <c r="J35" s="177"/>
      <c r="K35" s="177"/>
      <c r="L35" s="177"/>
      <c r="M35" s="177"/>
      <c r="O35" s="12"/>
      <c r="R35" s="122"/>
    </row>
    <row r="36" spans="2:18" ht="30" customHeight="1">
      <c r="B36" s="12"/>
      <c r="D36" s="177"/>
      <c r="E36" s="164"/>
      <c r="F36" s="173" t="s">
        <v>400</v>
      </c>
      <c r="G36" s="174"/>
      <c r="H36" s="175"/>
      <c r="I36" s="9" t="s">
        <v>32</v>
      </c>
      <c r="J36" s="167"/>
      <c r="K36" s="167"/>
      <c r="L36" s="167"/>
      <c r="M36" s="167"/>
      <c r="O36" s="12"/>
      <c r="R36" s="122"/>
    </row>
    <row r="37" spans="2:19" ht="30" customHeight="1">
      <c r="B37" s="12"/>
      <c r="D37" s="177"/>
      <c r="E37" s="197"/>
      <c r="F37" s="169" t="s">
        <v>333</v>
      </c>
      <c r="G37" s="181"/>
      <c r="H37" s="181"/>
      <c r="I37" s="104"/>
      <c r="J37" s="182" t="str">
        <f>IF(OR(I37="",I38=0),"Please Enter System Airflow Details...",IF((S37="n/a"),"Energy Recovery System Not Required",IF(AND(I38&lt;&gt;0,I38&gt;=ROUND(S37,2)),"Energy Recovery System Required","Energy Recovery System Not Required")))</f>
        <v>Please Enter System Airflow Details...</v>
      </c>
      <c r="K37" s="183"/>
      <c r="L37" s="183"/>
      <c r="M37" s="184"/>
      <c r="O37" s="12"/>
      <c r="R37" s="122" t="str">
        <f>IF(OR(J37="Energy Recovery System Required",J37="Please Enter System Airflow Details..."),"Yes","No")</f>
        <v>Yes</v>
      </c>
      <c r="S37" s="125" t="str">
        <f>IF(ISERROR(HLOOKUP(I37,energy_recovery,2,FALSE)),"n/a",(HLOOKUP(I37,energy_recovery,2,FALSE)))</f>
        <v>n/a</v>
      </c>
    </row>
    <row r="38" spans="2:15" ht="30" customHeight="1">
      <c r="B38" s="12"/>
      <c r="D38" s="177"/>
      <c r="E38" s="197"/>
      <c r="F38" s="169" t="s">
        <v>342</v>
      </c>
      <c r="G38" s="181"/>
      <c r="H38" s="181"/>
      <c r="I38" s="112"/>
      <c r="J38" s="173" t="s">
        <v>343</v>
      </c>
      <c r="K38" s="174"/>
      <c r="L38" s="175"/>
      <c r="M38" s="9" t="s">
        <v>32</v>
      </c>
      <c r="O38" s="12"/>
    </row>
    <row r="39" spans="2:18" ht="30" customHeight="1">
      <c r="B39" s="12"/>
      <c r="D39" s="177"/>
      <c r="E39" s="197"/>
      <c r="F39" s="211"/>
      <c r="G39" s="211"/>
      <c r="H39" s="211"/>
      <c r="I39" s="212"/>
      <c r="J39" s="173" t="s">
        <v>347</v>
      </c>
      <c r="K39" s="174"/>
      <c r="L39" s="175"/>
      <c r="M39" s="116"/>
      <c r="O39" s="12"/>
      <c r="R39" s="122" t="str">
        <f>IF(OR(I36="No",AND(R37="Yes",M38="Yes",M39&gt;=55%),R37="No"),"PASS","FAIL")</f>
        <v>PASS</v>
      </c>
    </row>
    <row r="40" spans="2:18" ht="30" customHeight="1">
      <c r="B40" s="12"/>
      <c r="D40" s="177"/>
      <c r="E40" s="197"/>
      <c r="F40" s="170" t="s">
        <v>344</v>
      </c>
      <c r="G40" s="171"/>
      <c r="H40" s="171"/>
      <c r="I40" s="171"/>
      <c r="J40" s="171"/>
      <c r="K40" s="171"/>
      <c r="L40" s="171"/>
      <c r="M40" s="172"/>
      <c r="O40" s="12"/>
      <c r="R40" s="122"/>
    </row>
    <row r="41" spans="2:18" ht="30" customHeight="1">
      <c r="B41" s="12"/>
      <c r="D41" s="177"/>
      <c r="E41" s="197"/>
      <c r="F41" s="174" t="s">
        <v>346</v>
      </c>
      <c r="G41" s="174"/>
      <c r="H41" s="175"/>
      <c r="I41" s="9" t="s">
        <v>32</v>
      </c>
      <c r="J41" s="208" t="str">
        <f>IF(AND(I41="Yes",I42="Yes"),"Demand Control Ventilation required for zones as per guidance criteria","No Demand Control Ventilation required")</f>
        <v>No Demand Control Ventilation required</v>
      </c>
      <c r="K41" s="209"/>
      <c r="L41" s="209"/>
      <c r="M41" s="210"/>
      <c r="O41" s="12"/>
      <c r="R41" s="122" t="str">
        <f>IF(J41="Demand Control Ventilation required for zones as per guidance criteria","Yes","No")</f>
        <v>No</v>
      </c>
    </row>
    <row r="42" spans="2:18" ht="30" customHeight="1">
      <c r="B42" s="12"/>
      <c r="D42" s="177"/>
      <c r="E42" s="197"/>
      <c r="F42" s="169" t="s">
        <v>345</v>
      </c>
      <c r="G42" s="181"/>
      <c r="H42" s="181"/>
      <c r="I42" s="9" t="s">
        <v>32</v>
      </c>
      <c r="J42" s="173" t="s">
        <v>365</v>
      </c>
      <c r="K42" s="174"/>
      <c r="L42" s="175"/>
      <c r="M42" s="9" t="s">
        <v>32</v>
      </c>
      <c r="O42" s="12"/>
      <c r="R42" s="122" t="str">
        <f>IF(OR(AND(R41="Yes",M42="Yes"),R41="No"),"PASS","FAIL")</f>
        <v>PASS</v>
      </c>
    </row>
    <row r="43" spans="2:18" ht="30" customHeight="1">
      <c r="B43" s="12"/>
      <c r="D43" s="177"/>
      <c r="E43" s="197"/>
      <c r="F43" s="170" t="s">
        <v>327</v>
      </c>
      <c r="G43" s="171"/>
      <c r="H43" s="171"/>
      <c r="I43" s="171"/>
      <c r="J43" s="171"/>
      <c r="K43" s="171"/>
      <c r="L43" s="171"/>
      <c r="M43" s="172"/>
      <c r="O43" s="12"/>
      <c r="R43" s="122"/>
    </row>
    <row r="44" spans="2:18" ht="30" customHeight="1">
      <c r="B44" s="12"/>
      <c r="D44" s="177"/>
      <c r="E44" s="197"/>
      <c r="F44" s="168" t="s">
        <v>328</v>
      </c>
      <c r="G44" s="168"/>
      <c r="H44" s="168"/>
      <c r="I44" s="168"/>
      <c r="J44" s="168"/>
      <c r="K44" s="168"/>
      <c r="L44" s="169"/>
      <c r="M44" s="9" t="s">
        <v>32</v>
      </c>
      <c r="O44" s="12"/>
      <c r="R44" s="122"/>
    </row>
    <row r="45" spans="2:18" ht="30" customHeight="1">
      <c r="B45" s="12"/>
      <c r="D45" s="177"/>
      <c r="E45" s="197"/>
      <c r="F45" s="168" t="s">
        <v>329</v>
      </c>
      <c r="G45" s="168"/>
      <c r="H45" s="169"/>
      <c r="I45" s="9" t="s">
        <v>32</v>
      </c>
      <c r="J45" s="176" t="s">
        <v>330</v>
      </c>
      <c r="K45" s="168"/>
      <c r="L45" s="169"/>
      <c r="M45" s="9" t="s">
        <v>32</v>
      </c>
      <c r="O45" s="12"/>
      <c r="R45" s="122"/>
    </row>
    <row r="46" spans="2:18" ht="30" customHeight="1">
      <c r="B46" s="12"/>
      <c r="D46" s="177"/>
      <c r="E46" s="197"/>
      <c r="F46" s="168" t="s">
        <v>366</v>
      </c>
      <c r="G46" s="168"/>
      <c r="H46" s="168"/>
      <c r="I46" s="168"/>
      <c r="J46" s="168"/>
      <c r="K46" s="168"/>
      <c r="L46" s="169"/>
      <c r="M46" s="9" t="s">
        <v>32</v>
      </c>
      <c r="O46" s="12"/>
      <c r="R46" s="122" t="str">
        <f>IF(AND(I45="No",M44="Yes",M46="Yes"),"PASS",IF(AND(M44="Yes",I45="Yes",M45="Yes",M46="Yes"),"PASS","FAIL"))</f>
        <v>FAIL</v>
      </c>
    </row>
    <row r="47" spans="2:18" ht="30" customHeight="1">
      <c r="B47" s="12"/>
      <c r="D47" s="177"/>
      <c r="E47" s="197"/>
      <c r="F47" s="170" t="s">
        <v>364</v>
      </c>
      <c r="G47" s="171"/>
      <c r="H47" s="171"/>
      <c r="I47" s="171"/>
      <c r="J47" s="171"/>
      <c r="K47" s="171"/>
      <c r="L47" s="171"/>
      <c r="M47" s="172"/>
      <c r="O47" s="12"/>
      <c r="R47" s="122"/>
    </row>
    <row r="48" spans="2:18" ht="30" customHeight="1">
      <c r="B48" s="12"/>
      <c r="D48" s="177"/>
      <c r="E48" s="197"/>
      <c r="F48" s="168" t="s">
        <v>406</v>
      </c>
      <c r="G48" s="168"/>
      <c r="H48" s="168"/>
      <c r="I48" s="168"/>
      <c r="J48" s="168"/>
      <c r="K48" s="168"/>
      <c r="L48" s="169"/>
      <c r="M48" s="9" t="s">
        <v>227</v>
      </c>
      <c r="O48" s="12"/>
      <c r="R48" s="122" t="str">
        <f>IF(OR(M48="Yes",M48="n/a"),"PASS","FAIL")</f>
        <v>PASS</v>
      </c>
    </row>
    <row r="49" spans="2:18" ht="30" customHeight="1">
      <c r="B49" s="12"/>
      <c r="D49" s="177"/>
      <c r="E49" s="197"/>
      <c r="F49" s="168" t="s">
        <v>367</v>
      </c>
      <c r="G49" s="168"/>
      <c r="H49" s="169"/>
      <c r="I49" s="9" t="s">
        <v>32</v>
      </c>
      <c r="J49" s="173" t="s">
        <v>368</v>
      </c>
      <c r="K49" s="174"/>
      <c r="L49" s="175"/>
      <c r="M49" s="9" t="s">
        <v>32</v>
      </c>
      <c r="O49" s="12"/>
      <c r="R49" s="122" t="str">
        <f>IF(OR(AND(I49="Yes",M49="Yes"),I49="No"),"PASS","FAIL")</f>
        <v>PASS</v>
      </c>
    </row>
    <row r="50" spans="2:18" ht="30" customHeight="1">
      <c r="B50" s="12"/>
      <c r="D50" s="177"/>
      <c r="E50" s="197"/>
      <c r="F50" s="168" t="s">
        <v>369</v>
      </c>
      <c r="G50" s="168"/>
      <c r="H50" s="169"/>
      <c r="I50" s="9" t="s">
        <v>32</v>
      </c>
      <c r="J50" s="173" t="s">
        <v>370</v>
      </c>
      <c r="K50" s="174"/>
      <c r="L50" s="175"/>
      <c r="M50" s="9" t="s">
        <v>32</v>
      </c>
      <c r="O50" s="12"/>
      <c r="R50" s="122" t="str">
        <f>IF(OR(AND(I50="Yes",M50="Yes"),I50="No"),"PASS","FAIL")</f>
        <v>PASS</v>
      </c>
    </row>
    <row r="51" spans="2:18" ht="30" customHeight="1">
      <c r="B51" s="12"/>
      <c r="D51" s="177"/>
      <c r="E51" s="198"/>
      <c r="F51" s="168" t="s">
        <v>371</v>
      </c>
      <c r="G51" s="168"/>
      <c r="H51" s="168"/>
      <c r="I51" s="168"/>
      <c r="J51" s="168"/>
      <c r="K51" s="168"/>
      <c r="L51" s="169"/>
      <c r="M51" s="9" t="s">
        <v>227</v>
      </c>
      <c r="O51" s="12"/>
      <c r="R51" s="122" t="str">
        <f>IF(OR(M51="Yes",M51="n/a"),"PASS","FAIL")</f>
        <v>PASS</v>
      </c>
    </row>
    <row r="52" spans="2:18" ht="30" customHeight="1" thickBot="1">
      <c r="B52" s="12"/>
      <c r="D52" s="178"/>
      <c r="E52" s="179" t="s">
        <v>363</v>
      </c>
      <c r="F52" s="179"/>
      <c r="G52" s="179"/>
      <c r="H52" s="179"/>
      <c r="I52" s="179"/>
      <c r="J52" s="179"/>
      <c r="K52" s="179"/>
      <c r="L52" s="179"/>
      <c r="M52" s="66" t="str">
        <f>IF(AND(R39="PASS",R42="PASS",R46="PASS",R48="PASS",R49="PASS",R50="PASS",R51="PASS"),"PASS","FAIL")</f>
        <v>FAIL</v>
      </c>
      <c r="O52" s="12"/>
      <c r="R52" s="122"/>
    </row>
    <row r="53" spans="2:15" ht="30" customHeight="1" thickBot="1">
      <c r="B53" s="12"/>
      <c r="D53" s="160" t="s">
        <v>322</v>
      </c>
      <c r="E53" s="161"/>
      <c r="F53" s="161"/>
      <c r="G53" s="161"/>
      <c r="H53" s="161"/>
      <c r="I53" s="161"/>
      <c r="J53" s="161"/>
      <c r="K53" s="161"/>
      <c r="L53" s="162"/>
      <c r="M53" s="37" t="str">
        <f>IF(AND(M23="PASS",M34="PASS",M52="PASS"),"PASS","FAIL")</f>
        <v>FAIL</v>
      </c>
      <c r="O53" s="12"/>
    </row>
    <row r="54" spans="2:15" ht="30" customHeight="1" thickBot="1">
      <c r="B54" s="12"/>
      <c r="D54" s="26"/>
      <c r="E54" s="26"/>
      <c r="F54" s="26"/>
      <c r="G54" s="26"/>
      <c r="H54" s="6"/>
      <c r="I54" s="6"/>
      <c r="J54" s="6"/>
      <c r="K54" s="6"/>
      <c r="L54" s="6"/>
      <c r="M54" s="6"/>
      <c r="O54" s="12"/>
    </row>
    <row r="55" spans="2:15" ht="30" customHeight="1" thickBot="1">
      <c r="B55" s="12"/>
      <c r="D55" s="195" t="s">
        <v>30</v>
      </c>
      <c r="E55" s="196"/>
      <c r="F55" s="26"/>
      <c r="G55" s="26"/>
      <c r="H55" s="6"/>
      <c r="I55" s="6"/>
      <c r="J55" s="6"/>
      <c r="K55" s="6"/>
      <c r="L55" s="14"/>
      <c r="M55" s="40" t="s">
        <v>29</v>
      </c>
      <c r="O55" s="12"/>
    </row>
    <row r="56" spans="2:15" ht="8.25" customHeight="1">
      <c r="B56" s="12"/>
      <c r="D56" s="15"/>
      <c r="E56" s="15"/>
      <c r="F56" s="15"/>
      <c r="G56" s="15"/>
      <c r="H56" s="15"/>
      <c r="I56" s="15"/>
      <c r="J56" s="15"/>
      <c r="K56" s="15"/>
      <c r="L56" s="33"/>
      <c r="M56" s="33"/>
      <c r="O56" s="12"/>
    </row>
    <row r="57" spans="2:15" ht="8.25" customHeight="1">
      <c r="B57" s="12"/>
      <c r="C57" s="12"/>
      <c r="D57" s="12"/>
      <c r="E57" s="12"/>
      <c r="F57" s="12"/>
      <c r="G57" s="12"/>
      <c r="H57" s="12"/>
      <c r="I57" s="12"/>
      <c r="J57" s="12"/>
      <c r="K57" s="12"/>
      <c r="L57" s="12"/>
      <c r="M57" s="12"/>
      <c r="N57" s="12"/>
      <c r="O57" s="12"/>
    </row>
  </sheetData>
  <sheetProtection password="DAFF" sheet="1" objects="1" scenarios="1"/>
  <mergeCells count="73">
    <mergeCell ref="J26:K26"/>
    <mergeCell ref="J27:K27"/>
    <mergeCell ref="J28:K28"/>
    <mergeCell ref="J29:K29"/>
    <mergeCell ref="J30:K30"/>
    <mergeCell ref="J31:K31"/>
    <mergeCell ref="D11:E11"/>
    <mergeCell ref="E24:E33"/>
    <mergeCell ref="E34:L34"/>
    <mergeCell ref="J24:K24"/>
    <mergeCell ref="F24:H24"/>
    <mergeCell ref="F26:H26"/>
    <mergeCell ref="F27:H27"/>
    <mergeCell ref="F28:H28"/>
    <mergeCell ref="F29:H29"/>
    <mergeCell ref="F30:H30"/>
    <mergeCell ref="J42:L42"/>
    <mergeCell ref="J39:L39"/>
    <mergeCell ref="F39:I39"/>
    <mergeCell ref="F25:H25"/>
    <mergeCell ref="F31:H31"/>
    <mergeCell ref="F32:H32"/>
    <mergeCell ref="F33:H33"/>
    <mergeCell ref="J25:K25"/>
    <mergeCell ref="J32:K32"/>
    <mergeCell ref="J33:K33"/>
    <mergeCell ref="F22:I22"/>
    <mergeCell ref="D53:L53"/>
    <mergeCell ref="F12:M12"/>
    <mergeCell ref="F15:M15"/>
    <mergeCell ref="F18:M18"/>
    <mergeCell ref="F46:L46"/>
    <mergeCell ref="F40:M40"/>
    <mergeCell ref="F41:H41"/>
    <mergeCell ref="J41:M41"/>
    <mergeCell ref="F42:H42"/>
    <mergeCell ref="F20:M20"/>
    <mergeCell ref="J17:K17"/>
    <mergeCell ref="J21:K21"/>
    <mergeCell ref="J14:K14"/>
    <mergeCell ref="F14:I14"/>
    <mergeCell ref="F17:I17"/>
    <mergeCell ref="J19:K19"/>
    <mergeCell ref="D9:E9"/>
    <mergeCell ref="E12:E22"/>
    <mergeCell ref="E23:L23"/>
    <mergeCell ref="D55:E55"/>
    <mergeCell ref="E35:E51"/>
    <mergeCell ref="F43:M43"/>
    <mergeCell ref="F44:L44"/>
    <mergeCell ref="J11:K11"/>
    <mergeCell ref="J13:K13"/>
    <mergeCell ref="F45:H45"/>
    <mergeCell ref="D12:D52"/>
    <mergeCell ref="E52:L52"/>
    <mergeCell ref="F35:M35"/>
    <mergeCell ref="F37:H37"/>
    <mergeCell ref="F38:H38"/>
    <mergeCell ref="J37:M37"/>
    <mergeCell ref="J38:L38"/>
    <mergeCell ref="J22:K22"/>
    <mergeCell ref="F36:H36"/>
    <mergeCell ref="J16:K16"/>
    <mergeCell ref="J36:M36"/>
    <mergeCell ref="F51:L51"/>
    <mergeCell ref="D10:M10"/>
    <mergeCell ref="F47:M47"/>
    <mergeCell ref="F48:L48"/>
    <mergeCell ref="F49:H49"/>
    <mergeCell ref="J49:L49"/>
    <mergeCell ref="F50:H50"/>
    <mergeCell ref="J50:L50"/>
    <mergeCell ref="J45:L45"/>
  </mergeCells>
  <conditionalFormatting sqref="G13:L13 G16:L16 G19:L19 G21:L21">
    <cfRule type="expression" priority="53" dxfId="6" stopIfTrue="1">
      <formula>$F13="No"</formula>
    </cfRule>
  </conditionalFormatting>
  <conditionalFormatting sqref="M13 M16 M19 M21">
    <cfRule type="expression" priority="63" dxfId="4" stopIfTrue="1">
      <formula>$F13&lt;&gt;"Yes"</formula>
    </cfRule>
    <cfRule type="expression" priority="64" dxfId="29" stopIfTrue="1">
      <formula>$M13="FAIL"</formula>
    </cfRule>
    <cfRule type="expression" priority="65" dxfId="28" stopIfTrue="1">
      <formula>$M13="PASS"</formula>
    </cfRule>
  </conditionalFormatting>
  <conditionalFormatting sqref="M14">
    <cfRule type="expression" priority="40" dxfId="34" stopIfTrue="1">
      <formula>$R14="No"</formula>
    </cfRule>
    <cfRule type="cellIs" priority="41" dxfId="56" operator="equal" stopIfTrue="1">
      <formula>"FAIL"</formula>
    </cfRule>
    <cfRule type="cellIs" priority="43" dxfId="55" operator="equal" stopIfTrue="1">
      <formula>"PASS"</formula>
    </cfRule>
  </conditionalFormatting>
  <conditionalFormatting sqref="J14:L14">
    <cfRule type="expression" priority="42" dxfId="23" stopIfTrue="1">
      <formula>$R14="No"</formula>
    </cfRule>
  </conditionalFormatting>
  <conditionalFormatting sqref="J17:L17">
    <cfRule type="expression" priority="36" dxfId="23" stopIfTrue="1">
      <formula>$R17="No"</formula>
    </cfRule>
  </conditionalFormatting>
  <conditionalFormatting sqref="M17">
    <cfRule type="expression" priority="33" dxfId="34" stopIfTrue="1">
      <formula>$R17="No"</formula>
    </cfRule>
    <cfRule type="cellIs" priority="34" dxfId="56" operator="equal" stopIfTrue="1">
      <formula>"FAIL"</formula>
    </cfRule>
    <cfRule type="cellIs" priority="35" dxfId="55" operator="equal" stopIfTrue="1">
      <formula>"PASS"</formula>
    </cfRule>
  </conditionalFormatting>
  <conditionalFormatting sqref="J22:L22">
    <cfRule type="expression" priority="29" dxfId="23" stopIfTrue="1">
      <formula>$R22="No"</formula>
    </cfRule>
  </conditionalFormatting>
  <conditionalFormatting sqref="M22">
    <cfRule type="expression" priority="26" dxfId="34" stopIfTrue="1">
      <formula>$R22="No"</formula>
    </cfRule>
    <cfRule type="cellIs" priority="27" dxfId="56" operator="equal" stopIfTrue="1">
      <formula>"FAIL"</formula>
    </cfRule>
    <cfRule type="cellIs" priority="28" dxfId="55" operator="equal" stopIfTrue="1">
      <formula>"PASS"</formula>
    </cfRule>
  </conditionalFormatting>
  <conditionalFormatting sqref="M23">
    <cfRule type="expression" priority="72" dxfId="4" stopIfTrue="1">
      <formula>$R$23="No"</formula>
    </cfRule>
    <cfRule type="expression" priority="73" dxfId="1" stopIfTrue="1">
      <formula>$M$23="FAIL"</formula>
    </cfRule>
    <cfRule type="expression" priority="74" dxfId="0" stopIfTrue="1">
      <formula>$M$23="PASS"</formula>
    </cfRule>
  </conditionalFormatting>
  <conditionalFormatting sqref="M53">
    <cfRule type="expression" priority="21" dxfId="1" stopIfTrue="1">
      <formula>$M$53="FAIL"</formula>
    </cfRule>
    <cfRule type="expression" priority="22" dxfId="0" stopIfTrue="1">
      <formula>$M$53="PASS"</formula>
    </cfRule>
  </conditionalFormatting>
  <conditionalFormatting sqref="J45:M45">
    <cfRule type="expression" priority="19" dxfId="34" stopIfTrue="1">
      <formula>$I$45="No"</formula>
    </cfRule>
  </conditionalFormatting>
  <conditionalFormatting sqref="M52">
    <cfRule type="expression" priority="17" dxfId="1" stopIfTrue="1">
      <formula>$M52="FAIL"</formula>
    </cfRule>
    <cfRule type="expression" priority="18" dxfId="0" stopIfTrue="1">
      <formula>$M52="PASS"</formula>
    </cfRule>
  </conditionalFormatting>
  <conditionalFormatting sqref="J38:M39">
    <cfRule type="expression" priority="14" dxfId="23" stopIfTrue="1">
      <formula>$J$37&lt;&gt;"Energy Recovery System Required"</formula>
    </cfRule>
  </conditionalFormatting>
  <conditionalFormatting sqref="F42:I42">
    <cfRule type="expression" priority="13" dxfId="23" stopIfTrue="1">
      <formula>$I$41="No"</formula>
    </cfRule>
  </conditionalFormatting>
  <conditionalFormatting sqref="J42:M42">
    <cfRule type="expression" priority="12" dxfId="23" stopIfTrue="1">
      <formula>$J$41&lt;&gt;"Demand Control Ventilation required for zones as per guidance criteria"</formula>
    </cfRule>
  </conditionalFormatting>
  <conditionalFormatting sqref="M34">
    <cfRule type="expression" priority="9" dxfId="4" stopIfTrue="1">
      <formula>$R$34="No"</formula>
    </cfRule>
    <cfRule type="expression" priority="10" dxfId="1" stopIfTrue="1">
      <formula>$M$34="FAIL"</formula>
    </cfRule>
    <cfRule type="expression" priority="11" dxfId="0" stopIfTrue="1">
      <formula>$M$34="PASS"</formula>
    </cfRule>
  </conditionalFormatting>
  <conditionalFormatting sqref="J25:L33">
    <cfRule type="expression" priority="8" dxfId="6" stopIfTrue="1">
      <formula>$I25="No"</formula>
    </cfRule>
  </conditionalFormatting>
  <conditionalFormatting sqref="M25:M33">
    <cfRule type="expression" priority="4" dxfId="4" stopIfTrue="1">
      <formula>$I25&lt;&gt;"Yes"</formula>
    </cfRule>
    <cfRule type="expression" priority="5" dxfId="29" stopIfTrue="1">
      <formula>$M25="FAIL"</formula>
    </cfRule>
    <cfRule type="expression" priority="6" dxfId="28" stopIfTrue="1">
      <formula>$M25="PASS"</formula>
    </cfRule>
  </conditionalFormatting>
  <conditionalFormatting sqref="J49:M50">
    <cfRule type="expression" priority="2" dxfId="23" stopIfTrue="1">
      <formula>$I49="No"</formula>
    </cfRule>
  </conditionalFormatting>
  <conditionalFormatting sqref="F37:I38 J37:M37">
    <cfRule type="expression" priority="1" dxfId="23" stopIfTrue="1">
      <formula>$I$36="No"</formula>
    </cfRule>
  </conditionalFormatting>
  <dataValidations count="13">
    <dataValidation type="list" allowBlank="1" showInputMessage="1" showErrorMessage="1" sqref="H16">
      <formula1>IF(G16="Air cooled",ac_cm,$R$16)</formula1>
    </dataValidation>
    <dataValidation type="list" allowBlank="1" showInputMessage="1" showErrorMessage="1" sqref="I49:I50 M49:M50 I36 I45 I25:I33 I41:I42 M42 M38 F21 F19 F16 F13 M44:M46">
      <formula1>"Yes,No"</formula1>
    </dataValidation>
    <dataValidation type="list" allowBlank="1" showInputMessage="1" showErrorMessage="1" sqref="M48 M51">
      <formula1>"Yes,No,n/a"</formula1>
    </dataValidation>
    <dataValidation type="list" allowBlank="1" showInputMessage="1" showErrorMessage="1" sqref="I37">
      <formula1>"&lt;30%,&gt;30% &amp;&lt;40%,&gt;40% &amp; &lt;50%,&gt;50% &amp; &lt;60%,&gt;60% &amp; &lt;70%,&gt;70% &amp; &lt;80%,&gt;80%"</formula1>
    </dataValidation>
    <dataValidation type="decimal" allowBlank="1" showInputMessage="1" showErrorMessage="1" sqref="I38">
      <formula1>0</formula1>
      <formula2>100</formula2>
    </dataValidation>
    <dataValidation allowBlank="1" showErrorMessage="1" promptTitle="Materials Database" prompt="Select Layer Material" sqref="D10"/>
    <dataValidation type="list" allowBlank="1" showInputMessage="1" showErrorMessage="1" sqref="G13">
      <formula1>"Air conditioners - Air cooled,Through-the-wall - Air cooled,Air conditioners - Water and evaporatively cooled"</formula1>
    </dataValidation>
    <dataValidation type="list" allowBlank="1" showInputMessage="1" showErrorMessage="1" sqref="H13">
      <formula1>INDIRECT(VLOOKUP($G$13,test,2,FALSE))</formula1>
    </dataValidation>
    <dataValidation type="decimal" allowBlank="1" showInputMessage="1" showErrorMessage="1" sqref="L13 L25:L33">
      <formula1>0</formula1>
      <formula2>10</formula2>
    </dataValidation>
    <dataValidation type="list" allowBlank="1" showInputMessage="1" showErrorMessage="1" sqref="G16">
      <formula1>"Air cooled,Through-the-Wall"</formula1>
    </dataValidation>
    <dataValidation type="list" allowBlank="1" showInputMessage="1" showErrorMessage="1" sqref="G19">
      <formula1>"PTAC,PTHP"</formula1>
    </dataValidation>
    <dataValidation allowBlank="1" showInputMessage="1" showErrorMessage="1" promptTitle="Unit Capacity" prompt="Please enter cooling capacity of the unit in Btu/h" sqref="I19"/>
    <dataValidation type="list" allowBlank="1" showInputMessage="1" showErrorMessage="1" sqref="I21">
      <formula1>"&lt; 150 tons,&gt; 150 tons"</formula1>
    </dataValidation>
  </dataValidations>
  <hyperlinks>
    <hyperlink ref="M55" location="SHW!A1" tooltip="SHW" display="Next"/>
    <hyperlink ref="D55" location="Lighting!A1" tooltip="Lighting" display="Previous"/>
    <hyperlink ref="H9" location="SHW!A1" tooltip="SHW" display="SHW"/>
    <hyperlink ref="I9" location="Lighting!A1" tooltip="Lighting" display="Lighting"/>
    <hyperlink ref="J9" location="Renewables!A1" tooltip="Renewables" display="Renewables"/>
    <hyperlink ref="F9" location="Envelope!A1" tooltip="Envelope" display="Envelope"/>
    <hyperlink ref="D9:E9" location="Summary!A1" tooltip="Summary" display="Summary"/>
    <hyperlink ref="D55:E55" location="Envelope!A1" tooltip="Envelope" display="Previous"/>
  </hyperlinks>
  <printOptions/>
  <pageMargins left="0.75" right="0.75" top="1" bottom="1" header="0.5" footer="0.5"/>
  <pageSetup fitToHeight="2"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dimension ref="B2:Q24"/>
  <sheetViews>
    <sheetView showRowColHeaders="0" zoomScale="85" zoomScaleNormal="85" zoomScaleSheetLayoutView="55" zoomScalePageLayoutView="0" workbookViewId="0" topLeftCell="A1">
      <selection activeCell="H9" sqref="H9"/>
    </sheetView>
  </sheetViews>
  <sheetFormatPr defaultColWidth="9.140625" defaultRowHeight="12.75"/>
  <cols>
    <col min="1" max="3" width="1.7109375" style="11" customWidth="1"/>
    <col min="4" max="4" width="19.421875" style="11" customWidth="1"/>
    <col min="5" max="7" width="19.57421875" style="11" customWidth="1"/>
    <col min="8" max="9" width="19.421875" style="11" customWidth="1"/>
    <col min="10" max="11" width="19.57421875" style="11" customWidth="1"/>
    <col min="12" max="14" width="1.7109375" style="11" customWidth="1"/>
    <col min="15" max="16384" width="9.140625" style="11" customWidth="1"/>
  </cols>
  <sheetData>
    <row r="1" ht="8.25" customHeight="1"/>
    <row r="2" spans="2:13" ht="9" customHeight="1">
      <c r="B2" s="12"/>
      <c r="C2" s="12"/>
      <c r="D2" s="1"/>
      <c r="E2" s="1"/>
      <c r="F2" s="1"/>
      <c r="G2" s="1"/>
      <c r="H2" s="1"/>
      <c r="I2" s="1"/>
      <c r="J2" s="1"/>
      <c r="K2" s="1"/>
      <c r="L2" s="1"/>
      <c r="M2" s="1"/>
    </row>
    <row r="3" spans="2:16" ht="13.5" customHeight="1">
      <c r="B3" s="12"/>
      <c r="C3" s="12"/>
      <c r="D3" s="2"/>
      <c r="E3" s="2"/>
      <c r="F3" s="1"/>
      <c r="G3" s="1"/>
      <c r="H3" s="1"/>
      <c r="I3" s="1"/>
      <c r="J3" s="1"/>
      <c r="K3" s="1"/>
      <c r="L3" s="1"/>
      <c r="M3" s="1"/>
      <c r="O3" s="121"/>
      <c r="P3" s="121"/>
    </row>
    <row r="4" spans="2:16" ht="13.5" customHeight="1">
      <c r="B4" s="12"/>
      <c r="C4" s="12"/>
      <c r="D4" s="2"/>
      <c r="E4" s="2"/>
      <c r="F4" s="1"/>
      <c r="G4" s="1"/>
      <c r="H4" s="1"/>
      <c r="I4" s="1"/>
      <c r="J4" s="1"/>
      <c r="K4" s="1"/>
      <c r="L4" s="1"/>
      <c r="M4" s="1"/>
      <c r="O4" s="121"/>
      <c r="P4" s="121"/>
    </row>
    <row r="5" spans="2:16" ht="36">
      <c r="B5" s="12"/>
      <c r="C5" s="12"/>
      <c r="D5" s="4" t="s">
        <v>372</v>
      </c>
      <c r="E5" s="4"/>
      <c r="F5" s="1"/>
      <c r="G5" s="1"/>
      <c r="H5" s="1"/>
      <c r="I5" s="1"/>
      <c r="J5" s="1"/>
      <c r="K5" s="1"/>
      <c r="L5" s="1"/>
      <c r="M5" s="1"/>
      <c r="N5" s="13"/>
      <c r="O5" s="121"/>
      <c r="P5" s="121"/>
    </row>
    <row r="6" spans="2:16" ht="27.75">
      <c r="B6" s="12"/>
      <c r="C6" s="12"/>
      <c r="D6" s="5"/>
      <c r="E6" s="5"/>
      <c r="F6" s="1"/>
      <c r="G6" s="1"/>
      <c r="H6" s="1"/>
      <c r="I6" s="1"/>
      <c r="J6" s="1"/>
      <c r="K6" s="1"/>
      <c r="L6" s="1"/>
      <c r="M6" s="1"/>
      <c r="N6" s="13"/>
      <c r="O6" s="121"/>
      <c r="P6" s="121"/>
    </row>
    <row r="7" spans="2:16" ht="12" customHeight="1">
      <c r="B7" s="12"/>
      <c r="C7" s="12"/>
      <c r="D7" s="1"/>
      <c r="E7" s="1"/>
      <c r="F7" s="1"/>
      <c r="G7" s="1"/>
      <c r="H7" s="1"/>
      <c r="I7" s="1"/>
      <c r="J7" s="1"/>
      <c r="K7" s="1"/>
      <c r="L7" s="1"/>
      <c r="M7" s="1"/>
      <c r="N7" s="13"/>
      <c r="O7" s="121"/>
      <c r="P7" s="121"/>
    </row>
    <row r="8" spans="2:16" ht="7.5" customHeight="1" thickBot="1">
      <c r="B8" s="12"/>
      <c r="D8" s="16"/>
      <c r="E8" s="6"/>
      <c r="F8" s="6"/>
      <c r="G8" s="6"/>
      <c r="H8" s="6"/>
      <c r="I8" s="6"/>
      <c r="J8" s="6"/>
      <c r="K8" s="6"/>
      <c r="L8" s="15"/>
      <c r="M8" s="1"/>
      <c r="N8" s="13"/>
      <c r="O8" s="121"/>
      <c r="P8" s="121"/>
    </row>
    <row r="9" spans="2:16" ht="30" customHeight="1" thickBot="1">
      <c r="B9" s="12"/>
      <c r="D9" s="62" t="s">
        <v>27</v>
      </c>
      <c r="E9" s="62" t="s">
        <v>95</v>
      </c>
      <c r="F9" s="62" t="s">
        <v>96</v>
      </c>
      <c r="G9" s="51" t="s">
        <v>375</v>
      </c>
      <c r="H9" s="62" t="s">
        <v>28</v>
      </c>
      <c r="I9" s="62" t="s">
        <v>97</v>
      </c>
      <c r="J9" s="30"/>
      <c r="K9" s="31"/>
      <c r="M9" s="1"/>
      <c r="O9" s="121"/>
      <c r="P9" s="121"/>
    </row>
    <row r="10" spans="2:16" ht="30" customHeight="1">
      <c r="B10" s="12"/>
      <c r="D10" s="6" t="s">
        <v>373</v>
      </c>
      <c r="E10" s="36"/>
      <c r="F10" s="6"/>
      <c r="G10" s="6"/>
      <c r="H10" s="29"/>
      <c r="I10" s="29"/>
      <c r="J10" s="30"/>
      <c r="K10" s="31"/>
      <c r="M10" s="12"/>
      <c r="O10" s="121"/>
      <c r="P10" s="121"/>
    </row>
    <row r="11" spans="2:16" ht="30" customHeight="1">
      <c r="B11" s="12"/>
      <c r="D11" s="114"/>
      <c r="E11" s="43" t="s">
        <v>5</v>
      </c>
      <c r="F11" s="43" t="s">
        <v>247</v>
      </c>
      <c r="G11" s="43" t="s">
        <v>307</v>
      </c>
      <c r="H11" s="199" t="s">
        <v>35</v>
      </c>
      <c r="I11" s="200"/>
      <c r="J11" s="45" t="s">
        <v>64</v>
      </c>
      <c r="K11" s="45" t="s">
        <v>12</v>
      </c>
      <c r="M11" s="12"/>
      <c r="O11" s="121"/>
      <c r="P11" s="121"/>
    </row>
    <row r="12" spans="2:16" ht="30" customHeight="1">
      <c r="B12" s="12"/>
      <c r="D12" s="165" t="s">
        <v>376</v>
      </c>
      <c r="E12" s="201" t="s">
        <v>377</v>
      </c>
      <c r="F12" s="171"/>
      <c r="G12" s="171"/>
      <c r="H12" s="171"/>
      <c r="I12" s="171"/>
      <c r="J12" s="171"/>
      <c r="K12" s="172"/>
      <c r="M12" s="12"/>
      <c r="O12" s="121"/>
      <c r="P12" s="121"/>
    </row>
    <row r="13" spans="2:17" ht="30" customHeight="1">
      <c r="B13" s="12"/>
      <c r="D13" s="177"/>
      <c r="E13" s="9" t="s">
        <v>32</v>
      </c>
      <c r="F13" s="136"/>
      <c r="G13" s="113"/>
      <c r="H13" s="186">
        <f>IF(F13=0,0,IF(F13="&gt; 12 kW",ROUND(0.134*G13+45.4,2)&amp;" Standby Loss",ROUND(0.97-0.000349*G13,2)&amp;" Efficiency Factor"))</f>
        <v>0</v>
      </c>
      <c r="I13" s="187"/>
      <c r="J13" s="54"/>
      <c r="K13" s="20" t="str">
        <f>IF(AND(F13="&gt; 12 kW",E13="Yes",G13&lt;&gt;"",ROUND(0.134*G13+45.4,2)&gt;=J13,H13&lt;&gt;0,J13&lt;&gt;0),"PASS",IF(AND(F13&lt;&gt;"&gt; 12 kW",E13="Yes",G13&lt;&gt;"",ROUND(0.97-0.000349*G13,2)&lt;=J13,H13&lt;&gt;0,J13&lt;&gt;0),"PASS",IF(E13="No","PASS","FAIL")))</f>
        <v>PASS</v>
      </c>
      <c r="M13" s="12"/>
      <c r="O13" s="121"/>
      <c r="P13" s="122"/>
      <c r="Q13" s="101"/>
    </row>
    <row r="14" spans="2:16" ht="30" customHeight="1">
      <c r="B14" s="12"/>
      <c r="D14" s="177"/>
      <c r="E14" s="180" t="s">
        <v>388</v>
      </c>
      <c r="F14" s="177"/>
      <c r="G14" s="177"/>
      <c r="H14" s="177"/>
      <c r="I14" s="177"/>
      <c r="J14" s="177"/>
      <c r="K14" s="177"/>
      <c r="M14" s="12"/>
      <c r="O14" s="121"/>
      <c r="P14" s="122"/>
    </row>
    <row r="15" spans="2:17" ht="30" customHeight="1">
      <c r="B15" s="12"/>
      <c r="D15" s="177"/>
      <c r="E15" s="174" t="s">
        <v>389</v>
      </c>
      <c r="F15" s="168"/>
      <c r="G15" s="168"/>
      <c r="H15" s="168"/>
      <c r="I15" s="168"/>
      <c r="J15" s="169"/>
      <c r="K15" s="9" t="s">
        <v>32</v>
      </c>
      <c r="M15" s="12"/>
      <c r="O15" s="133" t="str">
        <f>IF(OR(E13="No",AND(E13="Yes",K15="Yes")),"PASS","FAIL")</f>
        <v>PASS</v>
      </c>
      <c r="P15" s="122"/>
      <c r="Q15" s="111"/>
    </row>
    <row r="16" spans="2:16" ht="30" customHeight="1">
      <c r="B16" s="12"/>
      <c r="D16" s="177"/>
      <c r="E16" s="176" t="s">
        <v>390</v>
      </c>
      <c r="F16" s="168"/>
      <c r="G16" s="9" t="s">
        <v>32</v>
      </c>
      <c r="H16" s="173" t="s">
        <v>391</v>
      </c>
      <c r="I16" s="174"/>
      <c r="J16" s="175"/>
      <c r="K16" s="9" t="s">
        <v>32</v>
      </c>
      <c r="M16" s="12"/>
      <c r="O16" s="133" t="str">
        <f>IF(OR(G16="No",AND(G16="Yes",K16="Yes")),"PASS","FAIL")</f>
        <v>PASS</v>
      </c>
      <c r="P16" s="121"/>
    </row>
    <row r="17" spans="2:16" ht="30" customHeight="1">
      <c r="B17" s="12"/>
      <c r="D17" s="177"/>
      <c r="E17" s="173" t="s">
        <v>394</v>
      </c>
      <c r="F17" s="175"/>
      <c r="G17" s="9" t="s">
        <v>32</v>
      </c>
      <c r="H17" s="173" t="s">
        <v>397</v>
      </c>
      <c r="I17" s="174"/>
      <c r="J17" s="175"/>
      <c r="K17" s="9" t="s">
        <v>32</v>
      </c>
      <c r="M17" s="12"/>
      <c r="O17" s="133" t="str">
        <f>IF(OR(G17="No",AND(G17="Yes",K17="Yes")),"PASS","FAIL")</f>
        <v>PASS</v>
      </c>
      <c r="P17" s="122"/>
    </row>
    <row r="18" spans="2:16" ht="30" customHeight="1">
      <c r="B18" s="12"/>
      <c r="D18" s="177"/>
      <c r="E18" s="173" t="s">
        <v>392</v>
      </c>
      <c r="F18" s="175"/>
      <c r="G18" s="9" t="s">
        <v>32</v>
      </c>
      <c r="H18" s="173" t="s">
        <v>393</v>
      </c>
      <c r="I18" s="174"/>
      <c r="J18" s="175"/>
      <c r="K18" s="9" t="s">
        <v>32</v>
      </c>
      <c r="M18" s="12"/>
      <c r="O18" s="133" t="str">
        <f>IF(OR($G$17="No",AND($G$17="Yes",G18="No"),AND(G18="Yes",K18="Yes")),"PASS","FAIL")</f>
        <v>PASS</v>
      </c>
      <c r="P18" s="122"/>
    </row>
    <row r="19" spans="2:17" s="121" customFormat="1" ht="30" customHeight="1" thickBot="1">
      <c r="B19" s="12"/>
      <c r="C19" s="11"/>
      <c r="D19" s="178"/>
      <c r="E19" s="217" t="s">
        <v>395</v>
      </c>
      <c r="F19" s="218"/>
      <c r="G19" s="25" t="s">
        <v>32</v>
      </c>
      <c r="H19" s="217" t="s">
        <v>396</v>
      </c>
      <c r="I19" s="219"/>
      <c r="J19" s="218"/>
      <c r="K19" s="25" t="s">
        <v>32</v>
      </c>
      <c r="L19" s="11"/>
      <c r="M19" s="12"/>
      <c r="N19" s="11"/>
      <c r="O19" s="133" t="str">
        <f>IF(OR($G$17="No",AND($G$17="Yes",G19="No"),AND(G19="Yes",K19="Yes")),"PASS","FAIL")</f>
        <v>PASS</v>
      </c>
      <c r="P19" s="122"/>
      <c r="Q19" s="11"/>
    </row>
    <row r="20" spans="2:17" s="121" customFormat="1" ht="30" customHeight="1" thickBot="1">
      <c r="B20" s="12"/>
      <c r="C20" s="11"/>
      <c r="D20" s="160" t="s">
        <v>401</v>
      </c>
      <c r="E20" s="161"/>
      <c r="F20" s="161"/>
      <c r="G20" s="161"/>
      <c r="H20" s="161"/>
      <c r="I20" s="161"/>
      <c r="J20" s="162"/>
      <c r="K20" s="37" t="str">
        <f>IF(AND(K13="PASS",O15="PASS",O16="PASS",O17="PASS",O18="PASS",O19="PASS"),"PASS","FAIL")</f>
        <v>PASS</v>
      </c>
      <c r="L20" s="11"/>
      <c r="M20" s="12"/>
      <c r="N20" s="11"/>
      <c r="Q20" s="11"/>
    </row>
    <row r="21" spans="2:17" s="121" customFormat="1" ht="30" customHeight="1">
      <c r="B21" s="12"/>
      <c r="C21" s="11"/>
      <c r="D21" s="26"/>
      <c r="E21" s="26"/>
      <c r="F21" s="6"/>
      <c r="G21" s="6"/>
      <c r="H21" s="6"/>
      <c r="I21" s="6"/>
      <c r="J21" s="6"/>
      <c r="K21" s="6"/>
      <c r="L21" s="11"/>
      <c r="M21" s="12"/>
      <c r="N21" s="11"/>
      <c r="Q21" s="11"/>
    </row>
    <row r="22" spans="2:17" s="121" customFormat="1" ht="30" customHeight="1" thickBot="1">
      <c r="B22" s="12"/>
      <c r="C22" s="11"/>
      <c r="D22" s="115" t="s">
        <v>30</v>
      </c>
      <c r="E22" s="26"/>
      <c r="F22" s="6"/>
      <c r="G22" s="6"/>
      <c r="H22" s="6"/>
      <c r="I22" s="6"/>
      <c r="J22" s="14"/>
      <c r="K22" s="115" t="s">
        <v>29</v>
      </c>
      <c r="L22" s="11"/>
      <c r="M22" s="12"/>
      <c r="N22" s="11"/>
      <c r="Q22" s="11"/>
    </row>
    <row r="23" spans="2:17" s="121" customFormat="1" ht="8.25" customHeight="1">
      <c r="B23" s="12"/>
      <c r="C23" s="11"/>
      <c r="D23" s="15"/>
      <c r="E23" s="15"/>
      <c r="F23" s="15"/>
      <c r="G23" s="15"/>
      <c r="H23" s="15"/>
      <c r="I23" s="15"/>
      <c r="J23" s="33"/>
      <c r="K23" s="33"/>
      <c r="L23" s="11"/>
      <c r="M23" s="12"/>
      <c r="N23" s="11"/>
      <c r="O23" s="11"/>
      <c r="P23" s="11"/>
      <c r="Q23" s="11"/>
    </row>
    <row r="24" spans="2:17" s="121" customFormat="1" ht="8.25" customHeight="1">
      <c r="B24" s="12"/>
      <c r="C24" s="12"/>
      <c r="D24" s="12"/>
      <c r="E24" s="12"/>
      <c r="F24" s="12"/>
      <c r="G24" s="12"/>
      <c r="H24" s="12"/>
      <c r="I24" s="12"/>
      <c r="J24" s="12"/>
      <c r="K24" s="12"/>
      <c r="L24" s="12"/>
      <c r="M24" s="12"/>
      <c r="N24" s="11"/>
      <c r="O24" s="11"/>
      <c r="P24" s="11"/>
      <c r="Q24" s="11"/>
    </row>
  </sheetData>
  <sheetProtection password="DAFF" sheet="1" objects="1" scenarios="1"/>
  <mergeCells count="15">
    <mergeCell ref="H11:I11"/>
    <mergeCell ref="D12:D19"/>
    <mergeCell ref="E12:K12"/>
    <mergeCell ref="H13:I13"/>
    <mergeCell ref="E18:F18"/>
    <mergeCell ref="H18:J18"/>
    <mergeCell ref="E17:F17"/>
    <mergeCell ref="H17:J17"/>
    <mergeCell ref="D20:J20"/>
    <mergeCell ref="E15:J15"/>
    <mergeCell ref="H16:J16"/>
    <mergeCell ref="E19:F19"/>
    <mergeCell ref="H19:J19"/>
    <mergeCell ref="E14:K14"/>
    <mergeCell ref="E16:F16"/>
  </mergeCells>
  <conditionalFormatting sqref="K20">
    <cfRule type="expression" priority="1" dxfId="34" stopIfTrue="1">
      <formula>$E$13="No"</formula>
    </cfRule>
    <cfRule type="expression" priority="23" dxfId="1" stopIfTrue="1">
      <formula>$K$20="FAIL"</formula>
    </cfRule>
    <cfRule type="expression" priority="24" dxfId="0" stopIfTrue="1">
      <formula>$K$20="PASS"</formula>
    </cfRule>
  </conditionalFormatting>
  <conditionalFormatting sqref="F13:J13">
    <cfRule type="expression" priority="7" dxfId="23" stopIfTrue="1">
      <formula>$E$13="No"</formula>
    </cfRule>
  </conditionalFormatting>
  <conditionalFormatting sqref="K13">
    <cfRule type="expression" priority="43" dxfId="4" stopIfTrue="1">
      <formula>$E13&lt;&gt;"Yes"</formula>
    </cfRule>
    <cfRule type="expression" priority="44" dxfId="29" stopIfTrue="1">
      <formula>$K13="FAIL"</formula>
    </cfRule>
    <cfRule type="expression" priority="45" dxfId="28" stopIfTrue="1">
      <formula>$K13="PASS"</formula>
    </cfRule>
  </conditionalFormatting>
  <conditionalFormatting sqref="H16:K17">
    <cfRule type="expression" priority="6" dxfId="23" stopIfTrue="1">
      <formula>$G16="No"</formula>
    </cfRule>
  </conditionalFormatting>
  <conditionalFormatting sqref="H18:K19">
    <cfRule type="expression" priority="3" dxfId="23" stopIfTrue="1">
      <formula>$G18="No"</formula>
    </cfRule>
    <cfRule type="expression" priority="5" dxfId="23" stopIfTrue="1">
      <formula>$G$17="No"</formula>
    </cfRule>
  </conditionalFormatting>
  <conditionalFormatting sqref="E18:G19">
    <cfRule type="expression" priority="4" dxfId="23" stopIfTrue="1">
      <formula>$G$17="No"</formula>
    </cfRule>
  </conditionalFormatting>
  <conditionalFormatting sqref="E15:K15 E16:G17">
    <cfRule type="expression" priority="2" dxfId="23" stopIfTrue="1">
      <formula>$E$13="No"</formula>
    </cfRule>
  </conditionalFormatting>
  <dataValidations count="5">
    <dataValidation type="list" allowBlank="1" showInputMessage="1" showErrorMessage="1" sqref="G16:G19 E13 K15:K19">
      <formula1>"Yes,No"</formula1>
    </dataValidation>
    <dataValidation type="decimal" allowBlank="1" showInputMessage="1" showErrorMessage="1" sqref="J13">
      <formula1>0</formula1>
      <formula2>1500</formula2>
    </dataValidation>
    <dataValidation type="list" allowBlank="1" showInputMessage="1" showErrorMessage="1" sqref="F13">
      <formula1>"&lt; 12 kW,&gt; 12 kW,&lt; 24 amps and &lt; 250 volts"</formula1>
    </dataValidation>
    <dataValidation allowBlank="1" showErrorMessage="1" promptTitle="Materials Database" prompt="Select Layer Material" sqref="D10"/>
    <dataValidation type="decimal" allowBlank="1" showInputMessage="1" showErrorMessage="1" promptTitle="System Capacity" prompt="Please enter system volume in litres" sqref="G13">
      <formula1>0</formula1>
      <formula2>10000</formula2>
    </dataValidation>
  </dataValidations>
  <hyperlinks>
    <hyperlink ref="K22" location="Lighting!A1" tooltip="Lighting" display="Next"/>
    <hyperlink ref="D22" location="HVAC!A1" tooltip="HVAC" display="Previous"/>
    <hyperlink ref="D9" location="Summary!A1" tooltip="Summary" display="Summary"/>
    <hyperlink ref="E9" location="Envelope!A1" tooltip="Envelope" display="Envelope"/>
    <hyperlink ref="F9" location="HVAC!A1" tooltip="HVAC" display="HVAC"/>
    <hyperlink ref="H9" location="Lighting!A1" tooltip="Lighting" display="Lighting"/>
    <hyperlink ref="I9" location="Renewables!A1" tooltip="Renewables" display="Renewables"/>
  </hyperlinks>
  <printOptions/>
  <pageMargins left="0.75" right="0.75" top="1" bottom="1" header="0.5" footer="0.5"/>
  <pageSetup fitToHeight="2" horizontalDpi="600" verticalDpi="600" orientation="landscape" paperSize="9" scale="54" r:id="rId2"/>
  <drawing r:id="rId1"/>
</worksheet>
</file>

<file path=xl/worksheets/sheet5.xml><?xml version="1.0" encoding="utf-8"?>
<worksheet xmlns="http://schemas.openxmlformats.org/spreadsheetml/2006/main" xmlns:r="http://schemas.openxmlformats.org/officeDocument/2006/relationships">
  <dimension ref="B2:S59"/>
  <sheetViews>
    <sheetView showRowColHeaders="0" zoomScale="85" zoomScaleNormal="85" zoomScaleSheetLayoutView="55" zoomScalePageLayoutView="0" workbookViewId="0" topLeftCell="A1">
      <selection activeCell="J9" sqref="J9"/>
    </sheetView>
  </sheetViews>
  <sheetFormatPr defaultColWidth="9.140625" defaultRowHeight="12.75"/>
  <cols>
    <col min="1" max="3" width="1.7109375" style="11" customWidth="1"/>
    <col min="4" max="5" width="9.7109375" style="11" customWidth="1"/>
    <col min="6" max="12" width="19.421875" style="11" customWidth="1"/>
    <col min="13" max="15" width="1.7109375" style="11" customWidth="1"/>
    <col min="16" max="19" width="0" style="11" hidden="1" customWidth="1"/>
    <col min="20" max="16384" width="9.140625" style="11" customWidth="1"/>
  </cols>
  <sheetData>
    <row r="1" ht="8.25" customHeight="1"/>
    <row r="2" spans="2:14" ht="8.25" customHeight="1">
      <c r="B2" s="12"/>
      <c r="C2" s="12"/>
      <c r="D2" s="1"/>
      <c r="E2" s="1"/>
      <c r="F2" s="1"/>
      <c r="G2" s="1"/>
      <c r="H2" s="1"/>
      <c r="I2" s="1"/>
      <c r="J2" s="1"/>
      <c r="K2" s="1"/>
      <c r="L2" s="1"/>
      <c r="M2" s="1"/>
      <c r="N2" s="1"/>
    </row>
    <row r="3" spans="2:14" ht="13.5" customHeight="1">
      <c r="B3" s="12"/>
      <c r="C3" s="12"/>
      <c r="D3" s="2"/>
      <c r="E3" s="2"/>
      <c r="F3" s="2"/>
      <c r="G3" s="2"/>
      <c r="H3" s="1"/>
      <c r="I3" s="1"/>
      <c r="J3" s="1"/>
      <c r="K3" s="1"/>
      <c r="L3" s="1"/>
      <c r="M3" s="1"/>
      <c r="N3" s="1"/>
    </row>
    <row r="4" spans="2:14" ht="13.5" customHeight="1">
      <c r="B4" s="12"/>
      <c r="C4" s="12"/>
      <c r="D4" s="2"/>
      <c r="E4" s="2"/>
      <c r="F4" s="2"/>
      <c r="G4" s="2"/>
      <c r="H4" s="1"/>
      <c r="I4" s="1"/>
      <c r="J4" s="1"/>
      <c r="K4" s="1"/>
      <c r="L4" s="1"/>
      <c r="M4" s="1"/>
      <c r="N4" s="1"/>
    </row>
    <row r="5" spans="2:15" ht="36">
      <c r="B5" s="12"/>
      <c r="C5" s="12"/>
      <c r="D5" s="4" t="s">
        <v>28</v>
      </c>
      <c r="E5" s="4"/>
      <c r="F5" s="4"/>
      <c r="G5" s="4"/>
      <c r="H5" s="1"/>
      <c r="I5" s="1"/>
      <c r="J5" s="1"/>
      <c r="K5" s="1"/>
      <c r="L5" s="1"/>
      <c r="M5" s="1"/>
      <c r="N5" s="1"/>
      <c r="O5" s="13"/>
    </row>
    <row r="6" spans="2:15" ht="27.75">
      <c r="B6" s="12"/>
      <c r="C6" s="12"/>
      <c r="D6" s="5"/>
      <c r="E6" s="5"/>
      <c r="F6" s="5"/>
      <c r="G6" s="5"/>
      <c r="H6" s="1"/>
      <c r="I6" s="1"/>
      <c r="J6" s="1"/>
      <c r="K6" s="1"/>
      <c r="L6" s="1"/>
      <c r="M6" s="1"/>
      <c r="N6" s="1"/>
      <c r="O6" s="13"/>
    </row>
    <row r="7" spans="2:15" ht="12" customHeight="1">
      <c r="B7" s="12"/>
      <c r="C7" s="12"/>
      <c r="D7" s="1"/>
      <c r="E7" s="1"/>
      <c r="F7" s="1"/>
      <c r="G7" s="1"/>
      <c r="H7" s="1"/>
      <c r="I7" s="1"/>
      <c r="J7" s="1"/>
      <c r="K7" s="1"/>
      <c r="L7" s="1"/>
      <c r="M7" s="1"/>
      <c r="N7" s="1"/>
      <c r="O7" s="13"/>
    </row>
    <row r="8" spans="2:15" ht="7.5" customHeight="1" thickBot="1">
      <c r="B8" s="12"/>
      <c r="N8" s="12"/>
      <c r="O8" s="13"/>
    </row>
    <row r="9" spans="2:15" ht="30" customHeight="1" thickBot="1">
      <c r="B9" s="12"/>
      <c r="D9" s="188" t="s">
        <v>27</v>
      </c>
      <c r="E9" s="189"/>
      <c r="F9" s="62" t="s">
        <v>95</v>
      </c>
      <c r="G9" s="62" t="s">
        <v>96</v>
      </c>
      <c r="H9" s="62" t="s">
        <v>375</v>
      </c>
      <c r="I9" s="51" t="s">
        <v>28</v>
      </c>
      <c r="J9" s="62" t="s">
        <v>97</v>
      </c>
      <c r="M9" s="15"/>
      <c r="N9" s="1"/>
      <c r="O9" s="13"/>
    </row>
    <row r="10" spans="2:15" ht="30" customHeight="1">
      <c r="B10" s="12"/>
      <c r="D10" s="159" t="s">
        <v>233</v>
      </c>
      <c r="E10" s="159"/>
      <c r="F10" s="159"/>
      <c r="G10" s="159"/>
      <c r="H10" s="159"/>
      <c r="I10" s="159"/>
      <c r="J10" s="159"/>
      <c r="K10" s="159"/>
      <c r="L10" s="159"/>
      <c r="M10" s="15"/>
      <c r="N10" s="1"/>
      <c r="O10" s="13"/>
    </row>
    <row r="11" spans="2:15" ht="30" customHeight="1">
      <c r="B11" s="12"/>
      <c r="D11" s="159"/>
      <c r="E11" s="159"/>
      <c r="F11" s="159"/>
      <c r="G11" s="159"/>
      <c r="H11" s="159"/>
      <c r="I11" s="159"/>
      <c r="J11" s="159"/>
      <c r="K11" s="159"/>
      <c r="L11" s="159"/>
      <c r="M11" s="15"/>
      <c r="N11" s="1"/>
      <c r="O11" s="13"/>
    </row>
    <row r="12" spans="2:14" ht="30" customHeight="1">
      <c r="B12" s="12"/>
      <c r="D12" s="6"/>
      <c r="E12" s="6"/>
      <c r="F12" s="6"/>
      <c r="G12" s="6"/>
      <c r="H12" s="222" t="s">
        <v>11</v>
      </c>
      <c r="I12" s="222"/>
      <c r="J12" s="6"/>
      <c r="N12" s="1"/>
    </row>
    <row r="13" spans="2:14" ht="30" customHeight="1">
      <c r="B13" s="12"/>
      <c r="D13" s="227"/>
      <c r="E13" s="228"/>
      <c r="F13" s="227" t="s">
        <v>216</v>
      </c>
      <c r="G13" s="228"/>
      <c r="H13" s="44" t="s">
        <v>35</v>
      </c>
      <c r="I13" s="44" t="s">
        <v>64</v>
      </c>
      <c r="J13" s="45" t="s">
        <v>12</v>
      </c>
      <c r="N13" s="12"/>
    </row>
    <row r="14" spans="2:14" ht="30" customHeight="1">
      <c r="B14" s="12"/>
      <c r="D14" s="230" t="s">
        <v>219</v>
      </c>
      <c r="E14" s="190"/>
      <c r="F14" s="223"/>
      <c r="G14" s="224"/>
      <c r="H14" s="19" t="str">
        <f aca="true" t="shared" si="0" ref="H14:H33">IF(ISERROR(VLOOKUP(F14,int_light,4,FALSE)),"-",VLOOKUP(F14,int_light,4,FALSE))</f>
        <v>-</v>
      </c>
      <c r="I14" s="52"/>
      <c r="J14" s="38" t="str">
        <f>IF(AND(F14&lt;&gt;"",H14&gt;=I14,I14&lt;&gt;0),"PASS",IF(F14="","PASS","FAIL"))</f>
        <v>PASS</v>
      </c>
      <c r="K14" s="39"/>
      <c r="N14" s="12"/>
    </row>
    <row r="15" spans="2:14" ht="30" customHeight="1">
      <c r="B15" s="12"/>
      <c r="D15" s="231"/>
      <c r="E15" s="191"/>
      <c r="F15" s="223"/>
      <c r="G15" s="224"/>
      <c r="H15" s="19" t="str">
        <f t="shared" si="0"/>
        <v>-</v>
      </c>
      <c r="I15" s="52"/>
      <c r="J15" s="38" t="str">
        <f aca="true" t="shared" si="1" ref="J15:J33">IF(AND(F15&lt;&gt;"",H15&gt;=I15,I15&lt;&gt;0),"PASS",IF(F15="","PASS","FAIL"))</f>
        <v>PASS</v>
      </c>
      <c r="K15" s="39"/>
      <c r="N15" s="12"/>
    </row>
    <row r="16" spans="2:14" ht="30" customHeight="1">
      <c r="B16" s="12"/>
      <c r="D16" s="231"/>
      <c r="E16" s="191"/>
      <c r="F16" s="223"/>
      <c r="G16" s="224"/>
      <c r="H16" s="19" t="str">
        <f t="shared" si="0"/>
        <v>-</v>
      </c>
      <c r="I16" s="52"/>
      <c r="J16" s="38" t="str">
        <f t="shared" si="1"/>
        <v>PASS</v>
      </c>
      <c r="K16" s="39"/>
      <c r="N16" s="12"/>
    </row>
    <row r="17" spans="2:14" ht="30" customHeight="1">
      <c r="B17" s="12"/>
      <c r="D17" s="231"/>
      <c r="E17" s="191"/>
      <c r="F17" s="223"/>
      <c r="G17" s="224"/>
      <c r="H17" s="19" t="str">
        <f t="shared" si="0"/>
        <v>-</v>
      </c>
      <c r="I17" s="52"/>
      <c r="J17" s="38" t="str">
        <f t="shared" si="1"/>
        <v>PASS</v>
      </c>
      <c r="K17" s="39"/>
      <c r="N17" s="12"/>
    </row>
    <row r="18" spans="2:14" ht="30" customHeight="1">
      <c r="B18" s="12"/>
      <c r="D18" s="231"/>
      <c r="E18" s="191"/>
      <c r="F18" s="223"/>
      <c r="G18" s="224"/>
      <c r="H18" s="19" t="str">
        <f t="shared" si="0"/>
        <v>-</v>
      </c>
      <c r="I18" s="52"/>
      <c r="J18" s="38" t="str">
        <f t="shared" si="1"/>
        <v>PASS</v>
      </c>
      <c r="K18" s="39"/>
      <c r="N18" s="12"/>
    </row>
    <row r="19" spans="2:14" ht="30" customHeight="1">
      <c r="B19" s="12"/>
      <c r="D19" s="231"/>
      <c r="E19" s="191"/>
      <c r="F19" s="223"/>
      <c r="G19" s="224"/>
      <c r="H19" s="19" t="str">
        <f t="shared" si="0"/>
        <v>-</v>
      </c>
      <c r="I19" s="52"/>
      <c r="J19" s="38" t="str">
        <f t="shared" si="1"/>
        <v>PASS</v>
      </c>
      <c r="K19" s="39"/>
      <c r="N19" s="12"/>
    </row>
    <row r="20" spans="2:14" ht="30" customHeight="1">
      <c r="B20" s="12"/>
      <c r="D20" s="231"/>
      <c r="E20" s="191"/>
      <c r="F20" s="223"/>
      <c r="G20" s="224"/>
      <c r="H20" s="19" t="str">
        <f t="shared" si="0"/>
        <v>-</v>
      </c>
      <c r="I20" s="52"/>
      <c r="J20" s="38" t="str">
        <f t="shared" si="1"/>
        <v>PASS</v>
      </c>
      <c r="K20" s="39"/>
      <c r="N20" s="12"/>
    </row>
    <row r="21" spans="2:14" ht="30" customHeight="1">
      <c r="B21" s="12"/>
      <c r="D21" s="231"/>
      <c r="E21" s="191"/>
      <c r="F21" s="223"/>
      <c r="G21" s="224"/>
      <c r="H21" s="19" t="str">
        <f t="shared" si="0"/>
        <v>-</v>
      </c>
      <c r="I21" s="52"/>
      <c r="J21" s="38" t="str">
        <f t="shared" si="1"/>
        <v>PASS</v>
      </c>
      <c r="K21" s="39"/>
      <c r="N21" s="12"/>
    </row>
    <row r="22" spans="2:14" ht="30" customHeight="1">
      <c r="B22" s="12"/>
      <c r="D22" s="231"/>
      <c r="E22" s="191"/>
      <c r="F22" s="223"/>
      <c r="G22" s="224"/>
      <c r="H22" s="19" t="str">
        <f t="shared" si="0"/>
        <v>-</v>
      </c>
      <c r="I22" s="52"/>
      <c r="J22" s="38" t="str">
        <f t="shared" si="1"/>
        <v>PASS</v>
      </c>
      <c r="K22" s="39"/>
      <c r="N22" s="12"/>
    </row>
    <row r="23" spans="2:14" ht="30" customHeight="1">
      <c r="B23" s="12"/>
      <c r="D23" s="231"/>
      <c r="E23" s="191"/>
      <c r="F23" s="223"/>
      <c r="G23" s="224"/>
      <c r="H23" s="19" t="str">
        <f t="shared" si="0"/>
        <v>-</v>
      </c>
      <c r="I23" s="52"/>
      <c r="J23" s="38" t="str">
        <f t="shared" si="1"/>
        <v>PASS</v>
      </c>
      <c r="K23" s="39"/>
      <c r="N23" s="12"/>
    </row>
    <row r="24" spans="2:14" ht="30" customHeight="1">
      <c r="B24" s="12"/>
      <c r="D24" s="231"/>
      <c r="E24" s="191"/>
      <c r="F24" s="223"/>
      <c r="G24" s="224"/>
      <c r="H24" s="19" t="str">
        <f t="shared" si="0"/>
        <v>-</v>
      </c>
      <c r="I24" s="52"/>
      <c r="J24" s="38" t="str">
        <f t="shared" si="1"/>
        <v>PASS</v>
      </c>
      <c r="K24" s="39"/>
      <c r="N24" s="12"/>
    </row>
    <row r="25" spans="2:14" ht="30" customHeight="1">
      <c r="B25" s="12"/>
      <c r="D25" s="231"/>
      <c r="E25" s="191"/>
      <c r="F25" s="223"/>
      <c r="G25" s="224"/>
      <c r="H25" s="19" t="str">
        <f t="shared" si="0"/>
        <v>-</v>
      </c>
      <c r="I25" s="52"/>
      <c r="J25" s="38" t="str">
        <f t="shared" si="1"/>
        <v>PASS</v>
      </c>
      <c r="K25" s="39"/>
      <c r="N25" s="12"/>
    </row>
    <row r="26" spans="2:14" ht="30" customHeight="1">
      <c r="B26" s="12"/>
      <c r="D26" s="231"/>
      <c r="E26" s="191"/>
      <c r="F26" s="223"/>
      <c r="G26" s="224"/>
      <c r="H26" s="19" t="str">
        <f t="shared" si="0"/>
        <v>-</v>
      </c>
      <c r="I26" s="52"/>
      <c r="J26" s="38" t="str">
        <f t="shared" si="1"/>
        <v>PASS</v>
      </c>
      <c r="K26" s="39"/>
      <c r="N26" s="12"/>
    </row>
    <row r="27" spans="2:14" ht="30" customHeight="1">
      <c r="B27" s="12"/>
      <c r="D27" s="231"/>
      <c r="E27" s="191"/>
      <c r="F27" s="223"/>
      <c r="G27" s="224"/>
      <c r="H27" s="19" t="str">
        <f t="shared" si="0"/>
        <v>-</v>
      </c>
      <c r="I27" s="52"/>
      <c r="J27" s="38" t="str">
        <f t="shared" si="1"/>
        <v>PASS</v>
      </c>
      <c r="K27" s="39"/>
      <c r="N27" s="12"/>
    </row>
    <row r="28" spans="2:14" ht="30" customHeight="1">
      <c r="B28" s="12"/>
      <c r="D28" s="231"/>
      <c r="E28" s="191"/>
      <c r="F28" s="223"/>
      <c r="G28" s="224"/>
      <c r="H28" s="19" t="str">
        <f t="shared" si="0"/>
        <v>-</v>
      </c>
      <c r="I28" s="52"/>
      <c r="J28" s="38" t="str">
        <f t="shared" si="1"/>
        <v>PASS</v>
      </c>
      <c r="K28" s="39"/>
      <c r="N28" s="12"/>
    </row>
    <row r="29" spans="2:14" ht="30" customHeight="1">
      <c r="B29" s="12"/>
      <c r="D29" s="231"/>
      <c r="E29" s="191"/>
      <c r="F29" s="223"/>
      <c r="G29" s="224"/>
      <c r="H29" s="19" t="str">
        <f t="shared" si="0"/>
        <v>-</v>
      </c>
      <c r="I29" s="52"/>
      <c r="J29" s="38" t="str">
        <f t="shared" si="1"/>
        <v>PASS</v>
      </c>
      <c r="K29" s="39"/>
      <c r="N29" s="12"/>
    </row>
    <row r="30" spans="2:14" ht="30" customHeight="1">
      <c r="B30" s="12"/>
      <c r="D30" s="231"/>
      <c r="E30" s="191"/>
      <c r="F30" s="223"/>
      <c r="G30" s="224"/>
      <c r="H30" s="19" t="str">
        <f t="shared" si="0"/>
        <v>-</v>
      </c>
      <c r="I30" s="52"/>
      <c r="J30" s="38" t="str">
        <f t="shared" si="1"/>
        <v>PASS</v>
      </c>
      <c r="K30" s="39"/>
      <c r="N30" s="12"/>
    </row>
    <row r="31" spans="2:14" ht="30" customHeight="1">
      <c r="B31" s="12"/>
      <c r="D31" s="231"/>
      <c r="E31" s="191"/>
      <c r="F31" s="223"/>
      <c r="G31" s="224"/>
      <c r="H31" s="19" t="str">
        <f t="shared" si="0"/>
        <v>-</v>
      </c>
      <c r="I31" s="52"/>
      <c r="J31" s="38" t="str">
        <f t="shared" si="1"/>
        <v>PASS</v>
      </c>
      <c r="K31" s="39"/>
      <c r="N31" s="12"/>
    </row>
    <row r="32" spans="2:14" ht="30" customHeight="1">
      <c r="B32" s="12"/>
      <c r="D32" s="231"/>
      <c r="E32" s="191"/>
      <c r="F32" s="223"/>
      <c r="G32" s="224"/>
      <c r="H32" s="19" t="str">
        <f t="shared" si="0"/>
        <v>-</v>
      </c>
      <c r="I32" s="52"/>
      <c r="J32" s="38" t="str">
        <f t="shared" si="1"/>
        <v>PASS</v>
      </c>
      <c r="K32" s="39"/>
      <c r="N32" s="12"/>
    </row>
    <row r="33" spans="2:14" ht="30" customHeight="1" thickBot="1">
      <c r="B33" s="12"/>
      <c r="D33" s="232"/>
      <c r="E33" s="233"/>
      <c r="F33" s="223"/>
      <c r="G33" s="224"/>
      <c r="H33" s="19" t="str">
        <f t="shared" si="0"/>
        <v>-</v>
      </c>
      <c r="I33" s="52"/>
      <c r="J33" s="38" t="str">
        <f t="shared" si="1"/>
        <v>PASS</v>
      </c>
      <c r="K33" s="39"/>
      <c r="N33" s="12"/>
    </row>
    <row r="34" spans="2:14" ht="30" customHeight="1" thickBot="1">
      <c r="B34" s="12"/>
      <c r="D34" s="160" t="s">
        <v>13</v>
      </c>
      <c r="E34" s="161"/>
      <c r="F34" s="161"/>
      <c r="G34" s="161"/>
      <c r="H34" s="161"/>
      <c r="I34" s="161"/>
      <c r="J34" s="37" t="str">
        <f>IF(AND(J14="PASS",J15="PASS",J16="PASS",J17="PASS",J18="PASS",J19="PASS",J20="PASS",J21="PASS",J22="PASS",J23="PASS",J24="PASS",J25="PASS",J26="PASS",J27="PASS",J28="PASS",J29="PASS",J30="PASS",J31="PASS",J32="PASS",J33="PASS"),"PASS","FAIL")</f>
        <v>PASS</v>
      </c>
      <c r="K34" s="31" t="str">
        <f>IF(AND(F14="",F15="",F16="",F17="",F18="",F19="",F20="",F21="",F22="",F23="",F24="",F25="",F26="",F27="",F28="",F29="",F30="",F31="",F32="",F33=""),"No","Yes")</f>
        <v>No</v>
      </c>
      <c r="N34" s="12"/>
    </row>
    <row r="35" spans="2:14" ht="30" customHeight="1">
      <c r="B35" s="12"/>
      <c r="D35" s="229"/>
      <c r="E35" s="229"/>
      <c r="F35" s="229"/>
      <c r="G35" s="46"/>
      <c r="H35" s="6"/>
      <c r="I35" s="6"/>
      <c r="J35" s="14"/>
      <c r="K35" s="14"/>
      <c r="N35" s="12"/>
    </row>
    <row r="36" spans="2:14" ht="30" customHeight="1">
      <c r="B36" s="12"/>
      <c r="D36" s="176" t="s">
        <v>331</v>
      </c>
      <c r="E36" s="168"/>
      <c r="F36" s="168"/>
      <c r="G36" s="169"/>
      <c r="H36" s="9" t="s">
        <v>32</v>
      </c>
      <c r="I36" s="222" t="s">
        <v>24</v>
      </c>
      <c r="J36" s="222"/>
      <c r="K36" s="6"/>
      <c r="N36" s="12"/>
    </row>
    <row r="37" spans="2:19" ht="30" customHeight="1">
      <c r="B37" s="12"/>
      <c r="D37" s="213"/>
      <c r="E37" s="237"/>
      <c r="F37" s="8" t="s">
        <v>33</v>
      </c>
      <c r="G37" s="8" t="s">
        <v>34</v>
      </c>
      <c r="H37" s="43" t="s">
        <v>5</v>
      </c>
      <c r="I37" s="44" t="s">
        <v>35</v>
      </c>
      <c r="J37" s="44" t="s">
        <v>64</v>
      </c>
      <c r="K37" s="45" t="s">
        <v>226</v>
      </c>
      <c r="L37" s="45" t="s">
        <v>12</v>
      </c>
      <c r="N37" s="12"/>
      <c r="P37" s="64" t="s">
        <v>228</v>
      </c>
      <c r="Q37" s="64" t="s">
        <v>229</v>
      </c>
      <c r="R37" s="64" t="s">
        <v>231</v>
      </c>
      <c r="S37" s="64" t="s">
        <v>232</v>
      </c>
    </row>
    <row r="38" spans="2:19" ht="30" customHeight="1">
      <c r="B38" s="12"/>
      <c r="D38" s="163" t="s">
        <v>220</v>
      </c>
      <c r="E38" s="163" t="s">
        <v>224</v>
      </c>
      <c r="F38" s="48" t="s">
        <v>15</v>
      </c>
      <c r="G38" s="7" t="s">
        <v>21</v>
      </c>
      <c r="H38" s="9" t="s">
        <v>32</v>
      </c>
      <c r="I38" s="18">
        <v>1.45</v>
      </c>
      <c r="J38" s="24"/>
      <c r="K38" s="24"/>
      <c r="L38" s="234" t="s">
        <v>227</v>
      </c>
      <c r="M38" s="39"/>
      <c r="N38" s="12"/>
      <c r="P38" s="65" t="b">
        <f>IF($H38="Yes",$K38*I38)</f>
        <v>0</v>
      </c>
      <c r="Q38" s="65" t="b">
        <f>IF($H38="Yes",$K38*J38)</f>
        <v>0</v>
      </c>
      <c r="R38" s="65" t="str">
        <f>IF(AND(H38="Yes",J38&lt;&gt;0,K38&lt;&gt;0),"Yes","No")</f>
        <v>No</v>
      </c>
      <c r="S38" s="65" t="str">
        <f>IF(H38="Yes","Yes","No")</f>
        <v>No</v>
      </c>
    </row>
    <row r="39" spans="2:19" ht="30" customHeight="1">
      <c r="B39" s="12"/>
      <c r="D39" s="164"/>
      <c r="E39" s="164"/>
      <c r="F39" s="48" t="s">
        <v>14</v>
      </c>
      <c r="G39" s="7" t="s">
        <v>20</v>
      </c>
      <c r="H39" s="9" t="s">
        <v>32</v>
      </c>
      <c r="I39" s="18">
        <v>2.95</v>
      </c>
      <c r="J39" s="24"/>
      <c r="K39" s="24"/>
      <c r="L39" s="235"/>
      <c r="M39" s="39"/>
      <c r="N39" s="12"/>
      <c r="P39" s="65" t="b">
        <f aca="true" t="shared" si="2" ref="P39:Q46">IF($H39="Yes",$K39*I39)</f>
        <v>0</v>
      </c>
      <c r="Q39" s="65" t="b">
        <f t="shared" si="2"/>
        <v>0</v>
      </c>
      <c r="R39" s="65" t="str">
        <f aca="true" t="shared" si="3" ref="R39:R46">IF(AND(H39="Yes",J39&lt;&gt;0,K39&lt;&gt;0),"Yes","No")</f>
        <v>No</v>
      </c>
      <c r="S39" s="65" t="str">
        <f aca="true" t="shared" si="4" ref="S39:S46">IF(H39="Yes","Yes","No")</f>
        <v>No</v>
      </c>
    </row>
    <row r="40" spans="2:19" ht="30" customHeight="1">
      <c r="B40" s="12"/>
      <c r="D40" s="164"/>
      <c r="E40" s="164"/>
      <c r="F40" s="48" t="s">
        <v>31</v>
      </c>
      <c r="G40" s="7" t="s">
        <v>20</v>
      </c>
      <c r="H40" s="9" t="s">
        <v>32</v>
      </c>
      <c r="I40" s="18">
        <v>1.94</v>
      </c>
      <c r="J40" s="24"/>
      <c r="K40" s="24"/>
      <c r="L40" s="235"/>
      <c r="M40" s="39"/>
      <c r="N40" s="12"/>
      <c r="P40" s="65" t="b">
        <f t="shared" si="2"/>
        <v>0</v>
      </c>
      <c r="Q40" s="65" t="b">
        <f t="shared" si="2"/>
        <v>0</v>
      </c>
      <c r="R40" s="65" t="str">
        <f t="shared" si="3"/>
        <v>No</v>
      </c>
      <c r="S40" s="65" t="str">
        <f t="shared" si="4"/>
        <v>No</v>
      </c>
    </row>
    <row r="41" spans="2:19" ht="30" customHeight="1">
      <c r="B41" s="12"/>
      <c r="D41" s="164"/>
      <c r="E41" s="164"/>
      <c r="F41" s="48" t="s">
        <v>221</v>
      </c>
      <c r="G41" s="7" t="s">
        <v>21</v>
      </c>
      <c r="H41" s="9" t="s">
        <v>32</v>
      </c>
      <c r="I41" s="18">
        <v>9.69</v>
      </c>
      <c r="J41" s="24"/>
      <c r="K41" s="24"/>
      <c r="L41" s="235"/>
      <c r="M41" s="39"/>
      <c r="N41" s="12"/>
      <c r="P41" s="65" t="b">
        <f t="shared" si="2"/>
        <v>0</v>
      </c>
      <c r="Q41" s="65" t="b">
        <f t="shared" si="2"/>
        <v>0</v>
      </c>
      <c r="R41" s="65" t="str">
        <f t="shared" si="3"/>
        <v>No</v>
      </c>
      <c r="S41" s="65" t="str">
        <f t="shared" si="4"/>
        <v>No</v>
      </c>
    </row>
    <row r="42" spans="2:19" ht="30" customHeight="1">
      <c r="B42" s="12"/>
      <c r="D42" s="164"/>
      <c r="E42" s="164"/>
      <c r="F42" s="48" t="s">
        <v>16</v>
      </c>
      <c r="G42" s="23" t="s">
        <v>22</v>
      </c>
      <c r="H42" s="9" t="s">
        <v>32</v>
      </c>
      <c r="I42" s="19">
        <v>88.6</v>
      </c>
      <c r="J42" s="24"/>
      <c r="K42" s="24"/>
      <c r="L42" s="235"/>
      <c r="M42" s="39"/>
      <c r="N42" s="12"/>
      <c r="P42" s="65" t="b">
        <f t="shared" si="2"/>
        <v>0</v>
      </c>
      <c r="Q42" s="65" t="b">
        <f t="shared" si="2"/>
        <v>0</v>
      </c>
      <c r="R42" s="65" t="str">
        <f t="shared" si="3"/>
        <v>No</v>
      </c>
      <c r="S42" s="65" t="str">
        <f t="shared" si="4"/>
        <v>No</v>
      </c>
    </row>
    <row r="43" spans="2:19" ht="30" customHeight="1">
      <c r="B43" s="12"/>
      <c r="D43" s="164"/>
      <c r="E43" s="164"/>
      <c r="F43" s="48" t="s">
        <v>17</v>
      </c>
      <c r="G43" s="23" t="s">
        <v>22</v>
      </c>
      <c r="H43" s="9" t="s">
        <v>32</v>
      </c>
      <c r="I43" s="19">
        <v>59.1</v>
      </c>
      <c r="J43" s="24"/>
      <c r="K43" s="24"/>
      <c r="L43" s="235"/>
      <c r="M43" s="39"/>
      <c r="N43" s="12"/>
      <c r="P43" s="65" t="b">
        <f t="shared" si="2"/>
        <v>0</v>
      </c>
      <c r="Q43" s="65" t="b">
        <f t="shared" si="2"/>
        <v>0</v>
      </c>
      <c r="R43" s="65" t="str">
        <f t="shared" si="3"/>
        <v>No</v>
      </c>
      <c r="S43" s="65" t="str">
        <f t="shared" si="4"/>
        <v>No</v>
      </c>
    </row>
    <row r="44" spans="2:19" ht="30" customHeight="1">
      <c r="B44" s="12"/>
      <c r="D44" s="164"/>
      <c r="E44" s="164"/>
      <c r="F44" s="48" t="s">
        <v>18</v>
      </c>
      <c r="G44" s="7" t="s">
        <v>21</v>
      </c>
      <c r="H44" s="9" t="s">
        <v>32</v>
      </c>
      <c r="I44" s="19">
        <v>12.1</v>
      </c>
      <c r="J44" s="24"/>
      <c r="K44" s="24"/>
      <c r="L44" s="235"/>
      <c r="M44" s="39"/>
      <c r="N44" s="12"/>
      <c r="P44" s="65" t="b">
        <f t="shared" si="2"/>
        <v>0</v>
      </c>
      <c r="Q44" s="65" t="b">
        <f t="shared" si="2"/>
        <v>0</v>
      </c>
      <c r="R44" s="65" t="str">
        <f t="shared" si="3"/>
        <v>No</v>
      </c>
      <c r="S44" s="65" t="str">
        <f t="shared" si="4"/>
        <v>No</v>
      </c>
    </row>
    <row r="45" spans="2:19" ht="30" customHeight="1">
      <c r="B45" s="12"/>
      <c r="D45" s="164"/>
      <c r="E45" s="164"/>
      <c r="F45" s="63" t="s">
        <v>222</v>
      </c>
      <c r="G45" s="7" t="s">
        <v>21</v>
      </c>
      <c r="H45" s="9" t="s">
        <v>32</v>
      </c>
      <c r="I45" s="18">
        <v>4.84</v>
      </c>
      <c r="J45" s="24"/>
      <c r="K45" s="24"/>
      <c r="L45" s="235"/>
      <c r="M45" s="39"/>
      <c r="N45" s="12"/>
      <c r="P45" s="65" t="b">
        <f t="shared" si="2"/>
        <v>0</v>
      </c>
      <c r="Q45" s="65" t="b">
        <f t="shared" si="2"/>
        <v>0</v>
      </c>
      <c r="R45" s="65" t="str">
        <f t="shared" si="3"/>
        <v>No</v>
      </c>
      <c r="S45" s="65" t="str">
        <f t="shared" si="4"/>
        <v>No</v>
      </c>
    </row>
    <row r="46" spans="2:19" ht="30" customHeight="1">
      <c r="B46" s="12"/>
      <c r="D46" s="164"/>
      <c r="E46" s="238"/>
      <c r="F46" s="63" t="s">
        <v>223</v>
      </c>
      <c r="G46" s="7" t="s">
        <v>20</v>
      </c>
      <c r="H46" s="9" t="s">
        <v>32</v>
      </c>
      <c r="I46" s="19">
        <v>59.1</v>
      </c>
      <c r="J46" s="24"/>
      <c r="K46" s="24"/>
      <c r="L46" s="236"/>
      <c r="M46" s="39"/>
      <c r="N46" s="12"/>
      <c r="P46" s="65" t="b">
        <f t="shared" si="2"/>
        <v>0</v>
      </c>
      <c r="Q46" s="65" t="b">
        <f t="shared" si="2"/>
        <v>0</v>
      </c>
      <c r="R46" s="65" t="str">
        <f t="shared" si="3"/>
        <v>No</v>
      </c>
      <c r="S46" s="65" t="str">
        <f t="shared" si="4"/>
        <v>No</v>
      </c>
    </row>
    <row r="47" spans="2:19" ht="30" customHeight="1">
      <c r="B47" s="12"/>
      <c r="D47" s="164"/>
      <c r="E47" s="225" t="s">
        <v>225</v>
      </c>
      <c r="F47" s="226"/>
      <c r="G47" s="226"/>
      <c r="H47" s="226"/>
      <c r="I47" s="226"/>
      <c r="J47" s="226"/>
      <c r="K47" s="193"/>
      <c r="L47" s="143" t="str">
        <f>IF(AND(P47&gt;Q47,R47=S47),"PASS",IF(H36="No","PASS","FAIL"))</f>
        <v>PASS</v>
      </c>
      <c r="M47" s="71" t="str">
        <f>IF(AND(H38="No",H39="No",H40="No",H41="No",H42="No",H43="No",H44="No",H45="No",H46="No"),"No","Yes")</f>
        <v>No</v>
      </c>
      <c r="N47" s="12"/>
      <c r="P47" s="65">
        <f>SUM(P38:P46)</f>
        <v>0</v>
      </c>
      <c r="Q47" s="65">
        <f>SUM(Q38:Q46)</f>
        <v>0</v>
      </c>
      <c r="R47" s="65">
        <f>COUNTIF(R38:R46,"Yes")</f>
        <v>0</v>
      </c>
      <c r="S47" s="65">
        <f>COUNTIF(S38:S46,"Yes")</f>
        <v>0</v>
      </c>
    </row>
    <row r="48" spans="2:14" ht="45">
      <c r="B48" s="12"/>
      <c r="D48" s="164"/>
      <c r="E48" s="163" t="s">
        <v>230</v>
      </c>
      <c r="F48" s="68" t="s">
        <v>19</v>
      </c>
      <c r="G48" s="69" t="s">
        <v>218</v>
      </c>
      <c r="H48" s="70" t="s">
        <v>32</v>
      </c>
      <c r="I48" s="72" t="str">
        <f>IF(H48="By Area",1.94,IF(H48="By Linear m",14.8,"-"))</f>
        <v>-</v>
      </c>
      <c r="J48" s="73"/>
      <c r="K48" s="23"/>
      <c r="L48" s="67" t="str">
        <f>IF(AND(H48&lt;&gt;"No",I48&gt;=J48,J48&lt;&gt;0),"PASS",IF(H48="No","PASS","FAIL"))</f>
        <v>PASS</v>
      </c>
      <c r="M48" s="39"/>
      <c r="N48" s="12"/>
    </row>
    <row r="49" spans="2:14" ht="30" customHeight="1">
      <c r="B49" s="12"/>
      <c r="D49" s="164"/>
      <c r="E49" s="164"/>
      <c r="F49" s="220" t="s">
        <v>234</v>
      </c>
      <c r="G49" s="23" t="s">
        <v>236</v>
      </c>
      <c r="H49" s="70" t="s">
        <v>32</v>
      </c>
      <c r="I49" s="18">
        <v>243</v>
      </c>
      <c r="J49" s="24"/>
      <c r="K49" s="23"/>
      <c r="L49" s="67" t="str">
        <f aca="true" t="shared" si="5" ref="L49:L54">IF(AND(H49&lt;&gt;"No",I49&gt;=J49,J49&lt;&gt;0),"PASS",IF(H49="No","PASS","FAIL"))</f>
        <v>PASS</v>
      </c>
      <c r="M49" s="39"/>
      <c r="N49" s="12"/>
    </row>
    <row r="50" spans="2:14" ht="30" customHeight="1">
      <c r="B50" s="12"/>
      <c r="D50" s="164"/>
      <c r="E50" s="164"/>
      <c r="F50" s="221"/>
      <c r="G50" s="23" t="s">
        <v>235</v>
      </c>
      <c r="H50" s="70" t="s">
        <v>32</v>
      </c>
      <c r="I50" s="18">
        <v>81</v>
      </c>
      <c r="J50" s="24"/>
      <c r="K50" s="23"/>
      <c r="L50" s="67" t="str">
        <f t="shared" si="5"/>
        <v>PASS</v>
      </c>
      <c r="M50" s="39"/>
      <c r="N50" s="12"/>
    </row>
    <row r="51" spans="2:14" ht="30" customHeight="1">
      <c r="B51" s="12"/>
      <c r="D51" s="164"/>
      <c r="E51" s="164"/>
      <c r="F51" s="50" t="s">
        <v>237</v>
      </c>
      <c r="G51" s="23" t="s">
        <v>23</v>
      </c>
      <c r="H51" s="9" t="s">
        <v>32</v>
      </c>
      <c r="I51" s="18">
        <v>12.109398749999999</v>
      </c>
      <c r="J51" s="24"/>
      <c r="K51" s="23"/>
      <c r="L51" s="67" t="str">
        <f t="shared" si="5"/>
        <v>PASS</v>
      </c>
      <c r="M51" s="39"/>
      <c r="N51" s="12"/>
    </row>
    <row r="52" spans="2:14" ht="45">
      <c r="B52" s="12"/>
      <c r="D52" s="164"/>
      <c r="E52" s="164"/>
      <c r="F52" s="50" t="s">
        <v>238</v>
      </c>
      <c r="G52" s="23" t="s">
        <v>23</v>
      </c>
      <c r="H52" s="9" t="s">
        <v>32</v>
      </c>
      <c r="I52" s="18">
        <v>4.8437595</v>
      </c>
      <c r="J52" s="24"/>
      <c r="K52" s="23"/>
      <c r="L52" s="67" t="str">
        <f t="shared" si="5"/>
        <v>PASS</v>
      </c>
      <c r="M52" s="39"/>
      <c r="N52" s="12"/>
    </row>
    <row r="53" spans="2:14" ht="30" customHeight="1">
      <c r="B53" s="12"/>
      <c r="D53" s="164"/>
      <c r="E53" s="164"/>
      <c r="F53" s="50" t="s">
        <v>239</v>
      </c>
      <c r="G53" s="23" t="s">
        <v>241</v>
      </c>
      <c r="H53" s="70" t="s">
        <v>32</v>
      </c>
      <c r="I53" s="18">
        <v>360</v>
      </c>
      <c r="J53" s="24"/>
      <c r="K53" s="23"/>
      <c r="L53" s="67" t="str">
        <f t="shared" si="5"/>
        <v>PASS</v>
      </c>
      <c r="M53" s="39"/>
      <c r="N53" s="12"/>
    </row>
    <row r="54" spans="2:14" ht="30" customHeight="1" thickBot="1">
      <c r="B54" s="12"/>
      <c r="D54" s="164"/>
      <c r="E54" s="164"/>
      <c r="F54" s="137" t="s">
        <v>240</v>
      </c>
      <c r="G54" s="137" t="s">
        <v>242</v>
      </c>
      <c r="H54" s="138" t="s">
        <v>32</v>
      </c>
      <c r="I54" s="74">
        <v>720</v>
      </c>
      <c r="J54" s="106"/>
      <c r="K54" s="137"/>
      <c r="L54" s="67" t="str">
        <f t="shared" si="5"/>
        <v>PASS</v>
      </c>
      <c r="M54" s="39"/>
      <c r="N54" s="12"/>
    </row>
    <row r="55" spans="2:14" ht="30" customHeight="1" thickBot="1">
      <c r="B55" s="12"/>
      <c r="D55" s="160" t="s">
        <v>25</v>
      </c>
      <c r="E55" s="161"/>
      <c r="F55" s="161"/>
      <c r="G55" s="161"/>
      <c r="H55" s="161"/>
      <c r="I55" s="161"/>
      <c r="J55" s="161"/>
      <c r="K55" s="162"/>
      <c r="L55" s="37" t="str">
        <f>IF(AND(L47="PASS",L48="PASS",L49="PASS",L50="PASS",L51="PASS",L52="PASS",L53="PASS",L54="PASS"),"PASS","FAIL")</f>
        <v>PASS</v>
      </c>
      <c r="M55" s="71" t="str">
        <f>IF(AND(M47="No",H48="No",H49="No",H50="No",H51="No",H52="No",H53="No",H54="No"),"No","Yes")</f>
        <v>No</v>
      </c>
      <c r="N55" s="12"/>
    </row>
    <row r="56" spans="2:14" ht="30" customHeight="1" thickBot="1">
      <c r="B56" s="12"/>
      <c r="D56" s="46"/>
      <c r="E56" s="46"/>
      <c r="F56" s="46"/>
      <c r="G56" s="46"/>
      <c r="H56" s="6"/>
      <c r="I56" s="6"/>
      <c r="J56" s="14"/>
      <c r="K56" s="14"/>
      <c r="N56" s="12"/>
    </row>
    <row r="57" spans="2:14" ht="30" customHeight="1" thickBot="1">
      <c r="B57" s="12"/>
      <c r="D57" s="195" t="s">
        <v>30</v>
      </c>
      <c r="E57" s="196"/>
      <c r="F57" s="26"/>
      <c r="G57" s="26"/>
      <c r="H57" s="6"/>
      <c r="I57" s="6"/>
      <c r="J57" s="14"/>
      <c r="L57" s="51" t="s">
        <v>29</v>
      </c>
      <c r="N57" s="12"/>
    </row>
    <row r="58" spans="2:14" ht="8.25" customHeight="1">
      <c r="B58" s="12"/>
      <c r="D58" s="27"/>
      <c r="E58" s="27"/>
      <c r="F58" s="27"/>
      <c r="G58" s="27"/>
      <c r="H58" s="6"/>
      <c r="N58" s="12"/>
    </row>
    <row r="59" spans="2:14" ht="8.25" customHeight="1">
      <c r="B59" s="12"/>
      <c r="C59" s="12"/>
      <c r="D59" s="12"/>
      <c r="E59" s="12"/>
      <c r="F59" s="12"/>
      <c r="G59" s="12"/>
      <c r="H59" s="12"/>
      <c r="I59" s="12"/>
      <c r="J59" s="12"/>
      <c r="K59" s="12"/>
      <c r="L59" s="12"/>
      <c r="M59" s="12"/>
      <c r="N59" s="12"/>
    </row>
  </sheetData>
  <sheetProtection password="DAFF" sheet="1" objects="1" scenarios="1"/>
  <mergeCells count="39">
    <mergeCell ref="L38:L46"/>
    <mergeCell ref="D37:E37"/>
    <mergeCell ref="E38:E46"/>
    <mergeCell ref="F25:G25"/>
    <mergeCell ref="F26:G26"/>
    <mergeCell ref="F27:G27"/>
    <mergeCell ref="I36:J36"/>
    <mergeCell ref="D34:I34"/>
    <mergeCell ref="D36:G36"/>
    <mergeCell ref="D9:E9"/>
    <mergeCell ref="D13:E13"/>
    <mergeCell ref="D14:E33"/>
    <mergeCell ref="F19:G19"/>
    <mergeCell ref="F20:G20"/>
    <mergeCell ref="F21:G21"/>
    <mergeCell ref="F22:G22"/>
    <mergeCell ref="F23:G23"/>
    <mergeCell ref="F24:G24"/>
    <mergeCell ref="F18:G18"/>
    <mergeCell ref="D10:L11"/>
    <mergeCell ref="D38:D54"/>
    <mergeCell ref="F13:G13"/>
    <mergeCell ref="F14:G14"/>
    <mergeCell ref="F28:G28"/>
    <mergeCell ref="F29:G29"/>
    <mergeCell ref="F30:G30"/>
    <mergeCell ref="F31:G31"/>
    <mergeCell ref="D35:F35"/>
    <mergeCell ref="E48:E54"/>
    <mergeCell ref="D55:K55"/>
    <mergeCell ref="F49:F50"/>
    <mergeCell ref="D57:E57"/>
    <mergeCell ref="H12:I12"/>
    <mergeCell ref="F32:G32"/>
    <mergeCell ref="F33:G33"/>
    <mergeCell ref="F15:G15"/>
    <mergeCell ref="F16:G16"/>
    <mergeCell ref="F17:G17"/>
    <mergeCell ref="E47:K47"/>
  </mergeCells>
  <conditionalFormatting sqref="J34">
    <cfRule type="expression" priority="15" dxfId="4" stopIfTrue="1">
      <formula>$K$34="No"</formula>
    </cfRule>
    <cfRule type="expression" priority="16" dxfId="1" stopIfTrue="1">
      <formula>$J$34="FAIL"</formula>
    </cfRule>
    <cfRule type="expression" priority="17" dxfId="0" stopIfTrue="1">
      <formula>$J$34="PASS"</formula>
    </cfRule>
  </conditionalFormatting>
  <conditionalFormatting sqref="L55">
    <cfRule type="expression" priority="25" dxfId="1" stopIfTrue="1">
      <formula>$L$55="FAIL"</formula>
    </cfRule>
    <cfRule type="expression" priority="26" dxfId="0" stopIfTrue="1">
      <formula>$L$55="PASS"</formula>
    </cfRule>
  </conditionalFormatting>
  <conditionalFormatting sqref="H14:I33">
    <cfRule type="expression" priority="27" dxfId="6" stopIfTrue="1">
      <formula>$F14=""</formula>
    </cfRule>
  </conditionalFormatting>
  <conditionalFormatting sqref="I38:K46 I48:K54">
    <cfRule type="expression" priority="28" dxfId="6" stopIfTrue="1">
      <formula>$H38="No"</formula>
    </cfRule>
  </conditionalFormatting>
  <conditionalFormatting sqref="J14:J33">
    <cfRule type="expression" priority="31" dxfId="4" stopIfTrue="1">
      <formula>$F14=""</formula>
    </cfRule>
    <cfRule type="expression" priority="32" dxfId="3" stopIfTrue="1">
      <formula>$J14="FAIL"</formula>
    </cfRule>
    <cfRule type="expression" priority="33" dxfId="2" stopIfTrue="1">
      <formula>$J14="PASS"</formula>
    </cfRule>
  </conditionalFormatting>
  <conditionalFormatting sqref="L48:L54">
    <cfRule type="expression" priority="35" dxfId="4" stopIfTrue="1">
      <formula>$H48="No"</formula>
    </cfRule>
    <cfRule type="expression" priority="36" dxfId="3" stopIfTrue="1">
      <formula>$L48="FAIL"</formula>
    </cfRule>
    <cfRule type="expression" priority="37" dxfId="2" stopIfTrue="1">
      <formula>$L48="PASS"</formula>
    </cfRule>
  </conditionalFormatting>
  <conditionalFormatting sqref="L47">
    <cfRule type="expression" priority="4" dxfId="1" stopIfTrue="1">
      <formula>$L$47="FAIL"</formula>
    </cfRule>
    <cfRule type="expression" priority="5" dxfId="0" stopIfTrue="1">
      <formula>$L$47="PASS"</formula>
    </cfRule>
  </conditionalFormatting>
  <dataValidations count="5">
    <dataValidation type="list" allowBlank="1" showInputMessage="1" showErrorMessage="1" sqref="H38:H46 H36 H49:H50 H53:H54">
      <formula1>"Yes,No"</formula1>
    </dataValidation>
    <dataValidation type="list" allowBlank="1" showInputMessage="1" showErrorMessage="1" promptTitle="Uncovered Area" prompt="Covered areas are included in the “Canopies and Overhangs” section" sqref="H51:H52">
      <formula1>"Yes,No"</formula1>
    </dataValidation>
    <dataValidation type="list" allowBlank="1" showInputMessage="1" showErrorMessage="1" sqref="H48">
      <formula1>"No,By Area,By Linear m"</formula1>
    </dataValidation>
    <dataValidation allowBlank="1" showErrorMessage="1" promptTitle="Materials Database" prompt="Select Layer Material" sqref="D10:E10"/>
    <dataValidation type="list" allowBlank="1" showInputMessage="1" showErrorMessage="1" sqref="F14:G33">
      <formula1>int_light_space</formula1>
    </dataValidation>
  </dataValidations>
  <hyperlinks>
    <hyperlink ref="L57" location="Renewables!A1" tooltip="Renewables" display="Next"/>
    <hyperlink ref="D57" location="Summary!A1" tooltip="Summary" display="Previous"/>
    <hyperlink ref="I9" location="Lighting!A1" tooltip="Lighting" display="Lighting"/>
    <hyperlink ref="J9" location="Renewables!A1" tooltip="Renewables" display="Renewables"/>
    <hyperlink ref="F9" location="Envelope!A1" tooltip="Envelope" display="Envelope"/>
    <hyperlink ref="D9:E9" location="Summary!A1" tooltip="Summary" display="Summary"/>
    <hyperlink ref="G9" location="HVAC!A1" tooltip="HVAC" display="HVAC"/>
    <hyperlink ref="H9" location="SHW!A1" tooltip="SHW" display="SHW"/>
    <hyperlink ref="D57:E57" location="SHW!A1" tooltip="SHW" display="Previous"/>
  </hyperlinks>
  <printOptions/>
  <pageMargins left="0.75" right="0.75" top="1" bottom="1" header="0.5" footer="0.5"/>
  <pageSetup fitToHeight="2" horizontalDpi="600" verticalDpi="600" orientation="landscape" paperSize="9" scale="54" r:id="rId2"/>
  <ignoredErrors>
    <ignoredError sqref="L48" formula="1"/>
  </ignoredErrors>
  <drawing r:id="rId1"/>
</worksheet>
</file>

<file path=xl/worksheets/sheet6.xml><?xml version="1.0" encoding="utf-8"?>
<worksheet xmlns="http://schemas.openxmlformats.org/spreadsheetml/2006/main" xmlns:r="http://schemas.openxmlformats.org/officeDocument/2006/relationships">
  <dimension ref="B2:N17"/>
  <sheetViews>
    <sheetView tabSelected="1" zoomScale="85" zoomScaleNormal="85" zoomScaleSheetLayoutView="55" zoomScalePageLayoutView="0" workbookViewId="0" topLeftCell="A1">
      <selection activeCell="A1" sqref="A1"/>
    </sheetView>
  </sheetViews>
  <sheetFormatPr defaultColWidth="9.140625" defaultRowHeight="12.75"/>
  <cols>
    <col min="1" max="3" width="1.7109375" style="11" customWidth="1"/>
    <col min="4" max="11" width="19.57421875" style="11" customWidth="1"/>
    <col min="12" max="14" width="1.7109375" style="11" customWidth="1"/>
    <col min="15" max="16384" width="9.140625" style="11" customWidth="1"/>
  </cols>
  <sheetData>
    <row r="1" ht="8.25" customHeight="1"/>
    <row r="2" spans="2:13" ht="8.25" customHeight="1">
      <c r="B2" s="12"/>
      <c r="C2" s="12"/>
      <c r="D2" s="1"/>
      <c r="E2" s="1"/>
      <c r="F2" s="1"/>
      <c r="G2" s="1"/>
      <c r="H2" s="1"/>
      <c r="I2" s="1"/>
      <c r="J2" s="1"/>
      <c r="K2" s="1"/>
      <c r="L2" s="1"/>
      <c r="M2" s="1"/>
    </row>
    <row r="3" spans="2:13" ht="13.5" customHeight="1">
      <c r="B3" s="12"/>
      <c r="C3" s="12"/>
      <c r="D3" s="2"/>
      <c r="E3" s="2"/>
      <c r="F3" s="2"/>
      <c r="G3" s="1"/>
      <c r="H3" s="1"/>
      <c r="I3" s="1"/>
      <c r="J3" s="1"/>
      <c r="K3" s="1"/>
      <c r="L3" s="1"/>
      <c r="M3" s="1"/>
    </row>
    <row r="4" spans="2:13" ht="13.5" customHeight="1">
      <c r="B4" s="12"/>
      <c r="C4" s="12"/>
      <c r="D4" s="2"/>
      <c r="E4" s="2"/>
      <c r="F4" s="2"/>
      <c r="G4" s="1"/>
      <c r="H4" s="1"/>
      <c r="I4" s="1"/>
      <c r="J4" s="1"/>
      <c r="K4" s="1"/>
      <c r="L4" s="1"/>
      <c r="M4" s="1"/>
    </row>
    <row r="5" spans="2:14" ht="36">
      <c r="B5" s="12"/>
      <c r="C5" s="12"/>
      <c r="D5" s="4" t="s">
        <v>26</v>
      </c>
      <c r="E5" s="4"/>
      <c r="F5" s="3"/>
      <c r="G5" s="1"/>
      <c r="H5" s="1"/>
      <c r="I5" s="1"/>
      <c r="J5" s="1"/>
      <c r="K5" s="1"/>
      <c r="L5" s="1"/>
      <c r="M5" s="1"/>
      <c r="N5" s="13"/>
    </row>
    <row r="6" spans="2:14" ht="27.75">
      <c r="B6" s="12"/>
      <c r="C6" s="12"/>
      <c r="D6" s="5"/>
      <c r="E6" s="5"/>
      <c r="F6" s="3"/>
      <c r="G6" s="1"/>
      <c r="H6" s="1"/>
      <c r="I6" s="1"/>
      <c r="J6" s="1"/>
      <c r="K6" s="1"/>
      <c r="L6" s="1"/>
      <c r="M6" s="1"/>
      <c r="N6" s="13"/>
    </row>
    <row r="7" spans="2:14" ht="12" customHeight="1">
      <c r="B7" s="12"/>
      <c r="C7" s="12"/>
      <c r="D7" s="1"/>
      <c r="E7" s="1"/>
      <c r="F7" s="3"/>
      <c r="G7" s="1"/>
      <c r="H7" s="1"/>
      <c r="I7" s="1"/>
      <c r="J7" s="1"/>
      <c r="K7" s="1"/>
      <c r="L7" s="1"/>
      <c r="M7" s="1"/>
      <c r="N7" s="13"/>
    </row>
    <row r="8" spans="2:14" ht="7.5" customHeight="1" thickBot="1">
      <c r="B8" s="12"/>
      <c r="M8" s="12"/>
      <c r="N8" s="13"/>
    </row>
    <row r="9" spans="2:14" ht="30" customHeight="1" thickBot="1">
      <c r="B9" s="12"/>
      <c r="D9" s="62" t="s">
        <v>27</v>
      </c>
      <c r="E9" s="62" t="s">
        <v>95</v>
      </c>
      <c r="F9" s="62" t="s">
        <v>96</v>
      </c>
      <c r="G9" s="62" t="s">
        <v>375</v>
      </c>
      <c r="H9" s="62" t="s">
        <v>28</v>
      </c>
      <c r="I9" s="51" t="s">
        <v>97</v>
      </c>
      <c r="J9" s="31"/>
      <c r="K9" s="28"/>
      <c r="L9" s="15"/>
      <c r="M9" s="1"/>
      <c r="N9" s="13"/>
    </row>
    <row r="10" spans="2:13" ht="39" customHeight="1">
      <c r="B10" s="12"/>
      <c r="D10" s="166" t="s">
        <v>407</v>
      </c>
      <c r="E10" s="166"/>
      <c r="F10" s="166"/>
      <c r="G10" s="166"/>
      <c r="H10" s="166"/>
      <c r="I10" s="166"/>
      <c r="J10" s="166"/>
      <c r="K10" s="28"/>
      <c r="M10" s="1"/>
    </row>
    <row r="11" spans="2:13" ht="30" customHeight="1">
      <c r="B11" s="12"/>
      <c r="D11" s="213"/>
      <c r="E11" s="237"/>
      <c r="F11" s="43" t="s">
        <v>5</v>
      </c>
      <c r="G11" s="45" t="s">
        <v>243</v>
      </c>
      <c r="H11" s="45" t="s">
        <v>398</v>
      </c>
      <c r="I11" s="45" t="s">
        <v>399</v>
      </c>
      <c r="J11" s="45" t="s">
        <v>12</v>
      </c>
      <c r="K11" s="28"/>
      <c r="M11" s="12"/>
    </row>
    <row r="12" spans="2:13" ht="30" customHeight="1" thickBot="1">
      <c r="B12" s="12"/>
      <c r="D12" s="201" t="s">
        <v>36</v>
      </c>
      <c r="E12" s="170"/>
      <c r="F12" s="25" t="s">
        <v>32</v>
      </c>
      <c r="G12" s="139"/>
      <c r="H12" s="141">
        <f>G12*0.5</f>
        <v>0</v>
      </c>
      <c r="I12" s="140"/>
      <c r="J12" s="22" t="str">
        <f>IF(building_type&lt;&gt;"Office","n/a",IF(AND(H12&lt;&gt;0,I12&lt;&gt;0,H12&lt;=I12),"PASS","FAIL"))</f>
        <v>n/a</v>
      </c>
      <c r="K12" s="32"/>
      <c r="M12" s="12"/>
    </row>
    <row r="13" spans="2:13" ht="30" customHeight="1" thickBot="1">
      <c r="B13" s="12"/>
      <c r="D13" s="160" t="s">
        <v>308</v>
      </c>
      <c r="E13" s="161"/>
      <c r="F13" s="161"/>
      <c r="G13" s="161"/>
      <c r="H13" s="161"/>
      <c r="I13" s="162"/>
      <c r="J13" s="37" t="str">
        <f>IF(OR(J12="PASS",J12="n/a"),"PASS","FAIL")</f>
        <v>PASS</v>
      </c>
      <c r="K13" s="31" t="str">
        <f>IF(F12="No","No","Yes")</f>
        <v>No</v>
      </c>
      <c r="M13" s="12"/>
    </row>
    <row r="14" spans="2:13" ht="30" customHeight="1" thickBot="1">
      <c r="B14" s="12"/>
      <c r="D14" s="46"/>
      <c r="E14" s="46"/>
      <c r="F14" s="34"/>
      <c r="G14" s="6"/>
      <c r="H14" s="16"/>
      <c r="I14" s="16"/>
      <c r="J14" s="16"/>
      <c r="K14" s="16"/>
      <c r="M14" s="12"/>
    </row>
    <row r="15" spans="2:13" ht="30" customHeight="1" thickBot="1">
      <c r="B15" s="12"/>
      <c r="D15" s="51" t="s">
        <v>30</v>
      </c>
      <c r="E15" s="15"/>
      <c r="F15" s="15"/>
      <c r="H15" s="16"/>
      <c r="I15" s="16"/>
      <c r="J15" s="16"/>
      <c r="K15" s="16"/>
      <c r="M15" s="12"/>
    </row>
    <row r="16" spans="2:13" ht="8.25" customHeight="1">
      <c r="B16" s="12"/>
      <c r="H16" s="15"/>
      <c r="I16" s="33"/>
      <c r="J16" s="33"/>
      <c r="K16" s="10"/>
      <c r="M16" s="12"/>
    </row>
    <row r="17" spans="2:13" ht="8.25" customHeight="1">
      <c r="B17" s="12"/>
      <c r="C17" s="12"/>
      <c r="D17" s="12"/>
      <c r="E17" s="12"/>
      <c r="F17" s="12"/>
      <c r="G17" s="12"/>
      <c r="H17" s="12"/>
      <c r="I17" s="12"/>
      <c r="J17" s="12"/>
      <c r="K17" s="12"/>
      <c r="L17" s="12"/>
      <c r="M17" s="12"/>
    </row>
  </sheetData>
  <sheetProtection password="C66C" sheet="1"/>
  <mergeCells count="4">
    <mergeCell ref="D11:E11"/>
    <mergeCell ref="D12:E12"/>
    <mergeCell ref="D13:I13"/>
    <mergeCell ref="D10:J10"/>
  </mergeCells>
  <conditionalFormatting sqref="H12:I12">
    <cfRule type="expression" priority="4" dxfId="6" stopIfTrue="1">
      <formula>$F12="No"</formula>
    </cfRule>
  </conditionalFormatting>
  <conditionalFormatting sqref="K12">
    <cfRule type="expression" priority="5" dxfId="6" stopIfTrue="1">
      <formula>#REF!="No"</formula>
    </cfRule>
  </conditionalFormatting>
  <conditionalFormatting sqref="D12">
    <cfRule type="expression" priority="6" dxfId="5" stopIfTrue="1">
      <formula>#REF!="No"</formula>
    </cfRule>
  </conditionalFormatting>
  <conditionalFormatting sqref="J12">
    <cfRule type="expression" priority="10" dxfId="4" stopIfTrue="1">
      <formula>$F12&lt;&gt;"Yes"</formula>
    </cfRule>
    <cfRule type="expression" priority="11" dxfId="3" stopIfTrue="1">
      <formula>$J12="FAIL"</formula>
    </cfRule>
    <cfRule type="expression" priority="12" dxfId="2" stopIfTrue="1">
      <formula>$J12="PASS"</formula>
    </cfRule>
  </conditionalFormatting>
  <conditionalFormatting sqref="J13">
    <cfRule type="expression" priority="21" dxfId="1" stopIfTrue="1">
      <formula>$J$13="FAIL"</formula>
    </cfRule>
    <cfRule type="expression" priority="22" dxfId="0" stopIfTrue="1">
      <formula>$J$13="PASS"</formula>
    </cfRule>
  </conditionalFormatting>
  <dataValidations count="3">
    <dataValidation type="list" allowBlank="1" showInputMessage="1" showErrorMessage="1" sqref="F12">
      <formula1>"Yes,No"</formula1>
    </dataValidation>
    <dataValidation allowBlank="1" showErrorMessage="1" promptTitle="Materials Database" prompt="Select Layer Material" sqref="D10"/>
    <dataValidation allowBlank="1" showInputMessage="1" showErrorMessage="1" promptTitle="Hot Water Generation" prompt="Please enter total electrical load associated with the predicted hot water generation, kWh" sqref="G12"/>
  </dataValidations>
  <hyperlinks>
    <hyperlink ref="D15" location="Lighting!A1" tooltip="Lighting" display="Previous"/>
    <hyperlink ref="D9" location="Summary!A1" tooltip="Summary" display="Summary"/>
    <hyperlink ref="E9" location="Envelope!A1" tooltip="Envelope" display="Envelope"/>
    <hyperlink ref="F9" location="HVAC!A1" tooltip="HVAC" display="HVAC"/>
    <hyperlink ref="G9" location="SHW!A1" tooltip="SHW" display="SHW"/>
    <hyperlink ref="H9" location="Lighting!A1" tooltip="Lighting" display="Lighting"/>
  </hyperlinks>
  <printOptions/>
  <pageMargins left="0.75" right="0.75" top="1" bottom="1" header="0.5" footer="0.5"/>
  <pageSetup fitToHeight="2" horizontalDpi="600" verticalDpi="600" orientation="landscape" paperSize="9" scale="54" r:id="rId2"/>
  <drawing r:id="rId1"/>
</worksheet>
</file>

<file path=xl/worksheets/sheet7.xml><?xml version="1.0" encoding="utf-8"?>
<worksheet xmlns="http://schemas.openxmlformats.org/spreadsheetml/2006/main" xmlns:r="http://schemas.openxmlformats.org/officeDocument/2006/relationships">
  <dimension ref="B2:X137"/>
  <sheetViews>
    <sheetView zoomScale="85" zoomScaleNormal="85" zoomScalePageLayoutView="0" workbookViewId="0" topLeftCell="A1">
      <selection activeCell="A1" sqref="A1"/>
    </sheetView>
  </sheetViews>
  <sheetFormatPr defaultColWidth="9.140625" defaultRowHeight="12.75"/>
  <cols>
    <col min="1" max="1" width="2.8515625" style="58" customWidth="1"/>
    <col min="2" max="2" width="28.28125" style="58" bestFit="1" customWidth="1"/>
    <col min="3" max="3" width="8.00390625" style="58" bestFit="1" customWidth="1"/>
    <col min="4" max="4" width="12.7109375" style="58" bestFit="1" customWidth="1"/>
    <col min="5" max="5" width="2.8515625" style="58" customWidth="1"/>
    <col min="6" max="6" width="9.140625" style="58" customWidth="1"/>
    <col min="7" max="7" width="21.8515625" style="58" bestFit="1" customWidth="1"/>
    <col min="8" max="8" width="12.7109375" style="58" bestFit="1" customWidth="1"/>
    <col min="9" max="9" width="27.00390625" style="58" bestFit="1" customWidth="1"/>
    <col min="10" max="10" width="12.140625" style="58" bestFit="1" customWidth="1"/>
    <col min="11" max="11" width="10.00390625" style="58" bestFit="1" customWidth="1"/>
    <col min="12" max="14" width="10.00390625" style="58" customWidth="1"/>
    <col min="15" max="15" width="2.8515625" style="58" customWidth="1"/>
    <col min="16" max="16" width="19.00390625" style="58" bestFit="1" customWidth="1"/>
    <col min="17" max="17" width="11.57421875" style="58" customWidth="1"/>
    <col min="18" max="18" width="19.00390625" style="58" bestFit="1" customWidth="1"/>
    <col min="19" max="19" width="19.7109375" style="58" bestFit="1" customWidth="1"/>
    <col min="20" max="20" width="2.8515625" style="58" customWidth="1"/>
    <col min="21" max="21" width="31.00390625" style="58" bestFit="1" customWidth="1"/>
    <col min="22" max="16384" width="9.140625" style="58" customWidth="1"/>
  </cols>
  <sheetData>
    <row r="2" spans="2:21" ht="15.75">
      <c r="B2" s="59" t="s">
        <v>38</v>
      </c>
      <c r="F2" s="59" t="s">
        <v>96</v>
      </c>
      <c r="P2" s="59" t="s">
        <v>375</v>
      </c>
      <c r="U2" s="59" t="s">
        <v>28</v>
      </c>
    </row>
    <row r="3" spans="2:21" ht="15">
      <c r="B3" s="60" t="s">
        <v>67</v>
      </c>
      <c r="F3" s="60" t="s">
        <v>101</v>
      </c>
      <c r="P3" s="60" t="s">
        <v>101</v>
      </c>
      <c r="U3" s="60" t="s">
        <v>102</v>
      </c>
    </row>
    <row r="4" spans="2:24" ht="38.25">
      <c r="B4" s="60"/>
      <c r="C4" s="76" t="s">
        <v>47</v>
      </c>
      <c r="D4" s="76" t="s">
        <v>48</v>
      </c>
      <c r="F4" s="58" t="s">
        <v>305</v>
      </c>
      <c r="P4" s="110" t="s">
        <v>286</v>
      </c>
      <c r="Q4" s="126" t="s">
        <v>248</v>
      </c>
      <c r="R4" s="131" t="s">
        <v>249</v>
      </c>
      <c r="S4" s="127" t="s">
        <v>378</v>
      </c>
      <c r="U4" s="77"/>
      <c r="V4" s="78" t="s">
        <v>162</v>
      </c>
      <c r="W4" s="78" t="s">
        <v>163</v>
      </c>
      <c r="X4" s="78" t="s">
        <v>217</v>
      </c>
    </row>
    <row r="5" spans="2:24" ht="15" customHeight="1">
      <c r="B5" s="253" t="s">
        <v>49</v>
      </c>
      <c r="C5" s="253"/>
      <c r="D5" s="253"/>
      <c r="F5" s="79"/>
      <c r="G5" s="80" t="s">
        <v>246</v>
      </c>
      <c r="H5" s="80" t="s">
        <v>247</v>
      </c>
      <c r="I5" s="243" t="s">
        <v>249</v>
      </c>
      <c r="J5" s="244"/>
      <c r="K5" s="97"/>
      <c r="P5" s="128" t="s">
        <v>379</v>
      </c>
      <c r="Q5" s="128" t="s">
        <v>380</v>
      </c>
      <c r="R5" s="129" t="s">
        <v>385</v>
      </c>
      <c r="S5" s="128" t="s">
        <v>381</v>
      </c>
      <c r="U5" s="77"/>
      <c r="V5" s="78"/>
      <c r="W5" s="78"/>
      <c r="X5" s="78"/>
    </row>
    <row r="6" spans="2:24" ht="15">
      <c r="B6" s="82" t="s">
        <v>42</v>
      </c>
      <c r="C6" s="83">
        <v>0.2</v>
      </c>
      <c r="D6" s="83">
        <v>0.2</v>
      </c>
      <c r="G6" s="240" t="s">
        <v>250</v>
      </c>
      <c r="H6" s="84" t="s">
        <v>251</v>
      </c>
      <c r="I6" s="96" t="s">
        <v>252</v>
      </c>
      <c r="J6" s="96" t="s">
        <v>253</v>
      </c>
      <c r="K6" s="98"/>
      <c r="P6" s="128" t="s">
        <v>382</v>
      </c>
      <c r="Q6" s="128" t="s">
        <v>380</v>
      </c>
      <c r="R6" s="129" t="s">
        <v>386</v>
      </c>
      <c r="S6" s="128" t="s">
        <v>383</v>
      </c>
      <c r="U6" s="86" t="s">
        <v>103</v>
      </c>
      <c r="V6" s="87" t="s">
        <v>164</v>
      </c>
      <c r="W6" s="87">
        <v>7.750015199999999</v>
      </c>
      <c r="X6" s="87">
        <f>IF(V6="",W6,V6)</f>
        <v>7.750015199999999</v>
      </c>
    </row>
    <row r="7" spans="2:24" ht="25.5">
      <c r="B7" s="82" t="s">
        <v>43</v>
      </c>
      <c r="C7" s="83">
        <v>0.33</v>
      </c>
      <c r="D7" s="83">
        <v>0.33</v>
      </c>
      <c r="G7" s="241"/>
      <c r="H7" s="81" t="s">
        <v>315</v>
      </c>
      <c r="I7" s="88" t="s">
        <v>255</v>
      </c>
      <c r="J7" s="88" t="s">
        <v>256</v>
      </c>
      <c r="K7" s="98"/>
      <c r="P7" s="110" t="s">
        <v>387</v>
      </c>
      <c r="Q7" s="130" t="s">
        <v>384</v>
      </c>
      <c r="R7" s="129" t="s">
        <v>385</v>
      </c>
      <c r="S7" s="130" t="s">
        <v>381</v>
      </c>
      <c r="U7" s="86" t="s">
        <v>104</v>
      </c>
      <c r="V7" s="87" t="s">
        <v>164</v>
      </c>
      <c r="W7" s="87">
        <v>5.8125114</v>
      </c>
      <c r="X7" s="87">
        <f aca="true" t="shared" si="0" ref="X7:X70">IF(V7="",W7,V7)</f>
        <v>5.8125114</v>
      </c>
    </row>
    <row r="8" spans="2:24" ht="25.5">
      <c r="B8" s="82" t="s">
        <v>50</v>
      </c>
      <c r="C8" s="83">
        <v>0.17</v>
      </c>
      <c r="D8" s="83">
        <v>0.14</v>
      </c>
      <c r="G8" s="241"/>
      <c r="H8" s="81" t="s">
        <v>316</v>
      </c>
      <c r="I8" s="88" t="s">
        <v>258</v>
      </c>
      <c r="J8" s="88" t="s">
        <v>259</v>
      </c>
      <c r="K8" s="98"/>
      <c r="U8" s="86" t="s">
        <v>105</v>
      </c>
      <c r="V8" s="87" t="s">
        <v>164</v>
      </c>
      <c r="W8" s="87">
        <v>1.9375037999999998</v>
      </c>
      <c r="X8" s="87">
        <f t="shared" si="0"/>
        <v>1.9375037999999998</v>
      </c>
    </row>
    <row r="9" spans="2:24" ht="25.5">
      <c r="B9" s="253" t="s">
        <v>51</v>
      </c>
      <c r="C9" s="253"/>
      <c r="D9" s="253"/>
      <c r="G9" s="241"/>
      <c r="H9" s="84" t="s">
        <v>317</v>
      </c>
      <c r="I9" s="89" t="s">
        <v>261</v>
      </c>
      <c r="J9" s="88" t="s">
        <v>262</v>
      </c>
      <c r="K9" s="88" t="s">
        <v>263</v>
      </c>
      <c r="U9" s="86" t="s">
        <v>106</v>
      </c>
      <c r="V9" s="87">
        <v>8.7187671</v>
      </c>
      <c r="W9" s="87" t="s">
        <v>164</v>
      </c>
      <c r="X9" s="87">
        <f t="shared" si="0"/>
        <v>8.7187671</v>
      </c>
    </row>
    <row r="10" spans="2:24" ht="15">
      <c r="B10" s="82" t="s">
        <v>52</v>
      </c>
      <c r="C10" s="83">
        <v>0.3</v>
      </c>
      <c r="D10" s="83">
        <v>0.3</v>
      </c>
      <c r="G10" s="242"/>
      <c r="H10" s="84" t="s">
        <v>264</v>
      </c>
      <c r="I10" s="89" t="s">
        <v>265</v>
      </c>
      <c r="J10" s="88" t="s">
        <v>266</v>
      </c>
      <c r="K10" s="88" t="s">
        <v>267</v>
      </c>
      <c r="U10" s="86" t="s">
        <v>107</v>
      </c>
      <c r="V10" s="87" t="s">
        <v>164</v>
      </c>
      <c r="W10" s="87">
        <v>12.593774699999999</v>
      </c>
      <c r="X10" s="87">
        <f t="shared" si="0"/>
        <v>12.593774699999999</v>
      </c>
    </row>
    <row r="11" spans="2:24" ht="25.5">
      <c r="B11" s="82" t="s">
        <v>43</v>
      </c>
      <c r="C11" s="83">
        <v>0.48</v>
      </c>
      <c r="D11" s="83">
        <v>0.48</v>
      </c>
      <c r="G11" s="84" t="s">
        <v>268</v>
      </c>
      <c r="H11" s="84" t="s">
        <v>269</v>
      </c>
      <c r="I11" s="88" t="s">
        <v>270</v>
      </c>
      <c r="J11" s="88" t="s">
        <v>271</v>
      </c>
      <c r="K11" s="98"/>
      <c r="U11" s="86" t="s">
        <v>108</v>
      </c>
      <c r="V11" s="87" t="s">
        <v>164</v>
      </c>
      <c r="W11" s="87">
        <v>10.6562709</v>
      </c>
      <c r="X11" s="87">
        <f t="shared" si="0"/>
        <v>10.6562709</v>
      </c>
    </row>
    <row r="12" spans="2:24" ht="15">
      <c r="B12" s="82" t="s">
        <v>53</v>
      </c>
      <c r="C12" s="83">
        <v>0.19</v>
      </c>
      <c r="D12" s="83">
        <v>0.19</v>
      </c>
      <c r="G12" s="250" t="s">
        <v>272</v>
      </c>
      <c r="H12" s="81" t="s">
        <v>251</v>
      </c>
      <c r="I12" s="88" t="s">
        <v>273</v>
      </c>
      <c r="J12" s="88" t="s">
        <v>274</v>
      </c>
      <c r="K12" s="98"/>
      <c r="U12" s="86" t="s">
        <v>109</v>
      </c>
      <c r="V12" s="87" t="s">
        <v>164</v>
      </c>
      <c r="W12" s="87">
        <v>4.8437595</v>
      </c>
      <c r="X12" s="87">
        <f t="shared" si="0"/>
        <v>4.8437595</v>
      </c>
    </row>
    <row r="13" spans="2:24" ht="25.5">
      <c r="B13" s="82" t="s">
        <v>54</v>
      </c>
      <c r="C13" s="83">
        <v>0.18</v>
      </c>
      <c r="D13" s="83">
        <v>0.18</v>
      </c>
      <c r="G13" s="250"/>
      <c r="H13" s="81" t="s">
        <v>254</v>
      </c>
      <c r="I13" s="88" t="s">
        <v>275</v>
      </c>
      <c r="J13" s="88" t="s">
        <v>276</v>
      </c>
      <c r="K13" s="98"/>
      <c r="U13" s="86" t="s">
        <v>110</v>
      </c>
      <c r="V13" s="87" t="s">
        <v>164</v>
      </c>
      <c r="W13" s="87">
        <v>10.6562709</v>
      </c>
      <c r="X13" s="87">
        <f t="shared" si="0"/>
        <v>10.6562709</v>
      </c>
    </row>
    <row r="14" spans="2:24" ht="25.5">
      <c r="B14" s="253" t="s">
        <v>55</v>
      </c>
      <c r="C14" s="253"/>
      <c r="D14" s="253"/>
      <c r="G14" s="250"/>
      <c r="H14" s="81" t="s">
        <v>257</v>
      </c>
      <c r="I14" s="88" t="s">
        <v>258</v>
      </c>
      <c r="J14" s="88" t="s">
        <v>259</v>
      </c>
      <c r="K14" s="98"/>
      <c r="U14" s="86" t="s">
        <v>111</v>
      </c>
      <c r="V14" s="87" t="s">
        <v>164</v>
      </c>
      <c r="W14" s="87">
        <v>11.6250228</v>
      </c>
      <c r="X14" s="87">
        <f t="shared" si="0"/>
        <v>11.6250228</v>
      </c>
    </row>
    <row r="15" spans="2:24" ht="25.5">
      <c r="B15" s="82" t="s">
        <v>56</v>
      </c>
      <c r="C15" s="83">
        <v>5.83</v>
      </c>
      <c r="D15" s="83">
        <v>5.83</v>
      </c>
      <c r="G15" s="250"/>
      <c r="H15" s="81" t="s">
        <v>260</v>
      </c>
      <c r="I15" s="88" t="s">
        <v>275</v>
      </c>
      <c r="J15" s="88" t="s">
        <v>276</v>
      </c>
      <c r="K15" s="98"/>
      <c r="U15" s="86" t="s">
        <v>112</v>
      </c>
      <c r="V15" s="87" t="s">
        <v>164</v>
      </c>
      <c r="W15" s="87">
        <v>1.9375037999999998</v>
      </c>
      <c r="X15" s="87">
        <f t="shared" si="0"/>
        <v>1.9375037999999998</v>
      </c>
    </row>
    <row r="16" spans="2:24" ht="15">
      <c r="B16" s="253" t="s">
        <v>57</v>
      </c>
      <c r="C16" s="253"/>
      <c r="D16" s="253"/>
      <c r="F16" s="58" t="s">
        <v>305</v>
      </c>
      <c r="U16" s="86" t="s">
        <v>113</v>
      </c>
      <c r="V16" s="87" t="s">
        <v>164</v>
      </c>
      <c r="W16" s="87">
        <v>10.6562709</v>
      </c>
      <c r="X16" s="87">
        <f t="shared" si="0"/>
        <v>10.6562709</v>
      </c>
    </row>
    <row r="17" spans="2:24" ht="15">
      <c r="B17" s="82" t="s">
        <v>52</v>
      </c>
      <c r="C17" s="83">
        <v>1.65</v>
      </c>
      <c r="D17" s="83">
        <v>1.65</v>
      </c>
      <c r="G17" s="80" t="s">
        <v>246</v>
      </c>
      <c r="H17" s="80" t="s">
        <v>247</v>
      </c>
      <c r="I17" s="91" t="s">
        <v>249</v>
      </c>
      <c r="J17" s="99"/>
      <c r="K17" s="97"/>
      <c r="U17" s="86" t="s">
        <v>114</v>
      </c>
      <c r="V17" s="87" t="s">
        <v>164</v>
      </c>
      <c r="W17" s="87">
        <v>7.750015199999999</v>
      </c>
      <c r="X17" s="87">
        <f t="shared" si="0"/>
        <v>7.750015199999999</v>
      </c>
    </row>
    <row r="18" spans="2:24" ht="15" customHeight="1">
      <c r="B18" s="82" t="s">
        <v>58</v>
      </c>
      <c r="C18" s="83">
        <v>1.44</v>
      </c>
      <c r="D18" s="83">
        <v>1.44</v>
      </c>
      <c r="G18" s="240" t="s">
        <v>277</v>
      </c>
      <c r="H18" s="84" t="s">
        <v>251</v>
      </c>
      <c r="I18" s="85" t="s">
        <v>252</v>
      </c>
      <c r="J18" s="85" t="s">
        <v>253</v>
      </c>
      <c r="K18" s="98"/>
      <c r="U18" s="86" t="s">
        <v>115</v>
      </c>
      <c r="V18" s="87" t="s">
        <v>164</v>
      </c>
      <c r="W18" s="87">
        <v>5.8125114</v>
      </c>
      <c r="X18" s="87">
        <f t="shared" si="0"/>
        <v>5.8125114</v>
      </c>
    </row>
    <row r="19" spans="2:24" ht="25.5">
      <c r="B19" s="253" t="s">
        <v>59</v>
      </c>
      <c r="C19" s="253"/>
      <c r="D19" s="253"/>
      <c r="G19" s="241"/>
      <c r="H19" s="81" t="s">
        <v>315</v>
      </c>
      <c r="I19" s="88" t="s">
        <v>258</v>
      </c>
      <c r="J19" s="88" t="s">
        <v>259</v>
      </c>
      <c r="K19" s="98"/>
      <c r="U19" s="86" t="s">
        <v>116</v>
      </c>
      <c r="V19" s="87">
        <v>11.6250228</v>
      </c>
      <c r="W19" s="87" t="s">
        <v>164</v>
      </c>
      <c r="X19" s="87">
        <f t="shared" si="0"/>
        <v>11.6250228</v>
      </c>
    </row>
    <row r="20" spans="2:24" ht="25.5">
      <c r="B20" s="82" t="s">
        <v>60</v>
      </c>
      <c r="C20" s="83">
        <v>3.73</v>
      </c>
      <c r="D20" s="83">
        <v>3.73</v>
      </c>
      <c r="G20" s="241"/>
      <c r="H20" s="81" t="s">
        <v>316</v>
      </c>
      <c r="I20" s="88" t="s">
        <v>278</v>
      </c>
      <c r="J20" s="88" t="s">
        <v>279</v>
      </c>
      <c r="K20" s="98"/>
      <c r="U20" s="86" t="s">
        <v>117</v>
      </c>
      <c r="V20" s="87" t="s">
        <v>164</v>
      </c>
      <c r="W20" s="87">
        <v>12.593774699999999</v>
      </c>
      <c r="X20" s="87">
        <f t="shared" si="0"/>
        <v>12.593774699999999</v>
      </c>
    </row>
    <row r="21" spans="2:24" ht="15">
      <c r="B21" s="82" t="s">
        <v>61</v>
      </c>
      <c r="C21" s="83">
        <v>5.21</v>
      </c>
      <c r="D21" s="83">
        <v>5.21</v>
      </c>
      <c r="G21" s="242"/>
      <c r="H21" s="84" t="s">
        <v>280</v>
      </c>
      <c r="I21" s="89" t="s">
        <v>281</v>
      </c>
      <c r="J21" s="88" t="s">
        <v>282</v>
      </c>
      <c r="K21" s="88" t="s">
        <v>283</v>
      </c>
      <c r="U21" s="86" t="s">
        <v>118</v>
      </c>
      <c r="V21" s="87" t="s">
        <v>164</v>
      </c>
      <c r="W21" s="87">
        <v>8.7187671</v>
      </c>
      <c r="X21" s="87">
        <f t="shared" si="0"/>
        <v>8.7187671</v>
      </c>
    </row>
    <row r="22" spans="7:24" ht="25.5">
      <c r="G22" s="81" t="s">
        <v>284</v>
      </c>
      <c r="H22" s="81" t="s">
        <v>269</v>
      </c>
      <c r="I22" s="89" t="s">
        <v>270</v>
      </c>
      <c r="J22" s="88" t="s">
        <v>271</v>
      </c>
      <c r="K22" s="98"/>
      <c r="U22" s="86" t="s">
        <v>119</v>
      </c>
      <c r="V22" s="87">
        <v>11.6250228</v>
      </c>
      <c r="W22" s="87" t="s">
        <v>164</v>
      </c>
      <c r="X22" s="87">
        <f t="shared" si="0"/>
        <v>11.6250228</v>
      </c>
    </row>
    <row r="23" spans="2:24" ht="15.75">
      <c r="B23" s="57" t="s">
        <v>68</v>
      </c>
      <c r="F23" s="58" t="s">
        <v>285</v>
      </c>
      <c r="U23" s="86" t="s">
        <v>118</v>
      </c>
      <c r="V23" s="87" t="s">
        <v>164</v>
      </c>
      <c r="W23" s="87">
        <v>8.7187671</v>
      </c>
      <c r="X23" s="87">
        <f t="shared" si="0"/>
        <v>8.7187671</v>
      </c>
    </row>
    <row r="24" spans="2:24" ht="25.5">
      <c r="B24" s="254" t="s">
        <v>78</v>
      </c>
      <c r="C24" s="255"/>
      <c r="G24" s="80" t="s">
        <v>246</v>
      </c>
      <c r="H24" s="91" t="s">
        <v>286</v>
      </c>
      <c r="I24" s="81" t="s">
        <v>248</v>
      </c>
      <c r="J24" s="243" t="s">
        <v>249</v>
      </c>
      <c r="K24" s="244"/>
      <c r="U24" s="86" t="s">
        <v>120</v>
      </c>
      <c r="V24" s="87" t="s">
        <v>164</v>
      </c>
      <c r="W24" s="87">
        <v>18.4062861</v>
      </c>
      <c r="X24" s="87">
        <f t="shared" si="0"/>
        <v>18.4062861</v>
      </c>
    </row>
    <row r="25" spans="2:24" ht="15" customHeight="1">
      <c r="B25" s="82" t="s">
        <v>82</v>
      </c>
      <c r="C25" s="83">
        <v>2</v>
      </c>
      <c r="G25" s="81" t="s">
        <v>287</v>
      </c>
      <c r="H25" s="91" t="s">
        <v>288</v>
      </c>
      <c r="I25" s="77" t="s">
        <v>289</v>
      </c>
      <c r="J25" s="243" t="s">
        <v>290</v>
      </c>
      <c r="K25" s="244"/>
      <c r="L25" s="97"/>
      <c r="M25" s="97"/>
      <c r="N25" s="97"/>
      <c r="U25" s="86" t="s">
        <v>121</v>
      </c>
      <c r="V25" s="87" t="s">
        <v>164</v>
      </c>
      <c r="W25" s="87">
        <v>8.7187671</v>
      </c>
      <c r="X25" s="87">
        <f t="shared" si="0"/>
        <v>8.7187671</v>
      </c>
    </row>
    <row r="26" spans="2:24" ht="15">
      <c r="B26" s="82" t="s">
        <v>71</v>
      </c>
      <c r="C26" s="83">
        <v>1.9</v>
      </c>
      <c r="G26" s="81" t="s">
        <v>291</v>
      </c>
      <c r="H26" s="91" t="s">
        <v>288</v>
      </c>
      <c r="I26" s="77" t="s">
        <v>289</v>
      </c>
      <c r="J26" s="243" t="s">
        <v>290</v>
      </c>
      <c r="K26" s="244"/>
      <c r="L26" s="97"/>
      <c r="M26" s="97"/>
      <c r="N26" s="97"/>
      <c r="U26" s="86" t="s">
        <v>122</v>
      </c>
      <c r="V26" s="87" t="s">
        <v>164</v>
      </c>
      <c r="W26" s="87">
        <v>12.593774699999999</v>
      </c>
      <c r="X26" s="87">
        <f t="shared" si="0"/>
        <v>12.593774699999999</v>
      </c>
    </row>
    <row r="27" spans="2:24" ht="15">
      <c r="B27" s="82" t="s">
        <v>72</v>
      </c>
      <c r="C27" s="83">
        <v>2.6</v>
      </c>
      <c r="F27" s="58" t="s">
        <v>304</v>
      </c>
      <c r="L27" s="97"/>
      <c r="M27" s="97"/>
      <c r="N27" s="97"/>
      <c r="U27" s="86" t="s">
        <v>123</v>
      </c>
      <c r="V27" s="87" t="s">
        <v>164</v>
      </c>
      <c r="W27" s="87">
        <v>5.8125114</v>
      </c>
      <c r="X27" s="87">
        <f t="shared" si="0"/>
        <v>5.8125114</v>
      </c>
    </row>
    <row r="28" spans="2:24" ht="15">
      <c r="B28" s="82" t="s">
        <v>73</v>
      </c>
      <c r="C28" s="83">
        <v>1.9</v>
      </c>
      <c r="G28" s="245" t="s">
        <v>246</v>
      </c>
      <c r="H28" s="92" t="s">
        <v>247</v>
      </c>
      <c r="I28" s="247" t="s">
        <v>249</v>
      </c>
      <c r="J28" s="247"/>
      <c r="K28" s="247"/>
      <c r="U28" s="86" t="s">
        <v>124</v>
      </c>
      <c r="V28" s="87">
        <v>12.593774699999999</v>
      </c>
      <c r="W28" s="87" t="s">
        <v>164</v>
      </c>
      <c r="X28" s="87">
        <f t="shared" si="0"/>
        <v>12.593774699999999</v>
      </c>
    </row>
    <row r="29" spans="2:24" ht="15">
      <c r="B29" s="251" t="s">
        <v>74</v>
      </c>
      <c r="C29" s="251"/>
      <c r="G29" s="246"/>
      <c r="H29" s="93"/>
      <c r="I29" s="94" t="s">
        <v>292</v>
      </c>
      <c r="J29" s="94" t="s">
        <v>293</v>
      </c>
      <c r="K29" s="94" t="s">
        <v>294</v>
      </c>
      <c r="L29" s="97"/>
      <c r="M29" s="97"/>
      <c r="N29" s="97"/>
      <c r="U29" s="86" t="s">
        <v>125</v>
      </c>
      <c r="V29" s="87" t="s">
        <v>164</v>
      </c>
      <c r="W29" s="87">
        <v>13.562526599999998</v>
      </c>
      <c r="X29" s="87">
        <f t="shared" si="0"/>
        <v>13.562526599999998</v>
      </c>
    </row>
    <row r="30" spans="2:24" ht="15">
      <c r="B30" s="90" t="s">
        <v>75</v>
      </c>
      <c r="C30" s="83">
        <v>0.225</v>
      </c>
      <c r="G30" s="248" t="s">
        <v>295</v>
      </c>
      <c r="H30" s="91" t="s">
        <v>296</v>
      </c>
      <c r="I30" s="88" t="s">
        <v>297</v>
      </c>
      <c r="J30" s="95" t="s">
        <v>298</v>
      </c>
      <c r="K30" s="88" t="s">
        <v>299</v>
      </c>
      <c r="L30" s="98"/>
      <c r="M30" s="98"/>
      <c r="N30" s="98"/>
      <c r="U30" s="86" t="s">
        <v>126</v>
      </c>
      <c r="V30" s="87">
        <v>13.562526599999998</v>
      </c>
      <c r="W30" s="87" t="s">
        <v>164</v>
      </c>
      <c r="X30" s="87">
        <f t="shared" si="0"/>
        <v>13.562526599999998</v>
      </c>
    </row>
    <row r="31" spans="2:24" ht="15">
      <c r="B31" s="90" t="s">
        <v>76</v>
      </c>
      <c r="C31" s="83">
        <v>0.29700000000000004</v>
      </c>
      <c r="G31" s="249"/>
      <c r="H31" s="91" t="s">
        <v>300</v>
      </c>
      <c r="I31" s="96" t="s">
        <v>297</v>
      </c>
      <c r="J31" s="95" t="s">
        <v>298</v>
      </c>
      <c r="K31" s="96" t="s">
        <v>301</v>
      </c>
      <c r="L31" s="98"/>
      <c r="M31" s="98"/>
      <c r="N31" s="98"/>
      <c r="U31" s="86" t="s">
        <v>127</v>
      </c>
      <c r="V31" s="87">
        <v>15.500030399999998</v>
      </c>
      <c r="W31" s="87" t="s">
        <v>164</v>
      </c>
      <c r="X31" s="87">
        <f t="shared" si="0"/>
        <v>15.500030399999998</v>
      </c>
    </row>
    <row r="32" spans="2:24" ht="38.25">
      <c r="B32" s="90" t="s">
        <v>77</v>
      </c>
      <c r="C32" s="83">
        <v>0.36000000000000004</v>
      </c>
      <c r="G32" s="81" t="s">
        <v>302</v>
      </c>
      <c r="H32" s="91" t="s">
        <v>288</v>
      </c>
      <c r="I32" s="247" t="s">
        <v>303</v>
      </c>
      <c r="J32" s="247"/>
      <c r="K32" s="247"/>
      <c r="L32" s="98"/>
      <c r="M32" s="98"/>
      <c r="N32" s="98"/>
      <c r="U32" s="86" t="s">
        <v>128</v>
      </c>
      <c r="V32" s="87" t="s">
        <v>164</v>
      </c>
      <c r="W32" s="87">
        <v>13.562526599999998</v>
      </c>
      <c r="X32" s="87">
        <f t="shared" si="0"/>
        <v>13.562526599999998</v>
      </c>
    </row>
    <row r="33" spans="12:24" ht="12.75">
      <c r="L33" s="97"/>
      <c r="M33" s="97"/>
      <c r="N33" s="97"/>
      <c r="U33" s="86" t="s">
        <v>129</v>
      </c>
      <c r="V33" s="87" t="s">
        <v>164</v>
      </c>
      <c r="W33" s="87">
        <v>11.6250228</v>
      </c>
      <c r="X33" s="87">
        <f t="shared" si="0"/>
        <v>11.6250228</v>
      </c>
    </row>
    <row r="34" spans="2:24" ht="15">
      <c r="B34" s="252" t="s">
        <v>79</v>
      </c>
      <c r="C34" s="252"/>
      <c r="F34" s="58" t="s">
        <v>332</v>
      </c>
      <c r="U34" s="86" t="s">
        <v>130</v>
      </c>
      <c r="V34" s="87">
        <v>9.687519</v>
      </c>
      <c r="W34" s="87" t="s">
        <v>164</v>
      </c>
      <c r="X34" s="87">
        <f t="shared" si="0"/>
        <v>9.687519</v>
      </c>
    </row>
    <row r="35" spans="2:24" ht="25.5">
      <c r="B35" s="82" t="s">
        <v>80</v>
      </c>
      <c r="C35" s="83">
        <v>3.8</v>
      </c>
      <c r="G35" s="239" t="s">
        <v>333</v>
      </c>
      <c r="H35" s="239"/>
      <c r="I35" s="107" t="s">
        <v>334</v>
      </c>
      <c r="J35" s="107" t="s">
        <v>335</v>
      </c>
      <c r="K35" s="107" t="s">
        <v>336</v>
      </c>
      <c r="L35" s="107" t="s">
        <v>337</v>
      </c>
      <c r="M35" s="107" t="s">
        <v>338</v>
      </c>
      <c r="N35" s="107" t="s">
        <v>339</v>
      </c>
      <c r="U35" s="86" t="s">
        <v>131</v>
      </c>
      <c r="V35" s="87" t="s">
        <v>164</v>
      </c>
      <c r="W35" s="87">
        <v>10.6562709</v>
      </c>
      <c r="X35" s="87">
        <f t="shared" si="0"/>
        <v>10.6562709</v>
      </c>
    </row>
    <row r="36" spans="2:24" ht="25.5">
      <c r="B36" s="82" t="s">
        <v>81</v>
      </c>
      <c r="C36" s="83">
        <v>0.3</v>
      </c>
      <c r="G36" s="110" t="s">
        <v>340</v>
      </c>
      <c r="H36" s="108" t="s">
        <v>341</v>
      </c>
      <c r="I36" s="109" t="s">
        <v>227</v>
      </c>
      <c r="J36" s="109" t="s">
        <v>227</v>
      </c>
      <c r="K36" s="109">
        <v>11.04356916</v>
      </c>
      <c r="L36" s="109">
        <v>5.09703192</v>
      </c>
      <c r="M36" s="109">
        <v>2.1237633000000002</v>
      </c>
      <c r="N36" s="109">
        <v>1.6990106399999998</v>
      </c>
      <c r="U36" s="86" t="s">
        <v>132</v>
      </c>
      <c r="V36" s="87" t="s">
        <v>164</v>
      </c>
      <c r="W36" s="87">
        <v>4.8437595</v>
      </c>
      <c r="X36" s="87">
        <f t="shared" si="0"/>
        <v>4.8437595</v>
      </c>
    </row>
    <row r="37" spans="21:24" ht="12.75">
      <c r="U37" s="86" t="s">
        <v>133</v>
      </c>
      <c r="V37" s="87" t="s">
        <v>164</v>
      </c>
      <c r="W37" s="87">
        <v>13.562526599999998</v>
      </c>
      <c r="X37" s="87">
        <f t="shared" si="0"/>
        <v>13.562526599999998</v>
      </c>
    </row>
    <row r="38" spans="6:24" ht="12.75">
      <c r="F38" s="117" t="s">
        <v>348</v>
      </c>
      <c r="G38" s="53"/>
      <c r="H38" s="53"/>
      <c r="U38" s="86" t="s">
        <v>134</v>
      </c>
      <c r="V38" s="87">
        <v>9.687519</v>
      </c>
      <c r="W38" s="87" t="s">
        <v>164</v>
      </c>
      <c r="X38" s="87">
        <f t="shared" si="0"/>
        <v>9.687519</v>
      </c>
    </row>
    <row r="39" spans="6:24" ht="12.75">
      <c r="F39" s="118"/>
      <c r="G39" s="119" t="s">
        <v>349</v>
      </c>
      <c r="H39" s="108" t="s">
        <v>350</v>
      </c>
      <c r="U39" s="86" t="s">
        <v>123</v>
      </c>
      <c r="V39" s="87" t="s">
        <v>164</v>
      </c>
      <c r="W39" s="87">
        <v>5.8125114</v>
      </c>
      <c r="X39" s="87">
        <f t="shared" si="0"/>
        <v>5.8125114</v>
      </c>
    </row>
    <row r="40" spans="6:24" ht="38.25">
      <c r="F40" s="53"/>
      <c r="G40" s="110" t="s">
        <v>351</v>
      </c>
      <c r="H40" s="120">
        <v>1.8</v>
      </c>
      <c r="U40" s="86" t="s">
        <v>118</v>
      </c>
      <c r="V40" s="87" t="s">
        <v>164</v>
      </c>
      <c r="W40" s="87">
        <v>2.9062557</v>
      </c>
      <c r="X40" s="87">
        <f t="shared" si="0"/>
        <v>2.9062557</v>
      </c>
    </row>
    <row r="41" spans="6:24" ht="51">
      <c r="F41" s="53"/>
      <c r="G41" s="110" t="s">
        <v>352</v>
      </c>
      <c r="H41" s="120">
        <v>1.2</v>
      </c>
      <c r="U41" s="86" t="s">
        <v>135</v>
      </c>
      <c r="V41" s="87" t="s">
        <v>164</v>
      </c>
      <c r="W41" s="87">
        <v>8.7187671</v>
      </c>
      <c r="X41" s="87">
        <f t="shared" si="0"/>
        <v>8.7187671</v>
      </c>
    </row>
    <row r="42" spans="6:24" ht="38.25">
      <c r="F42" s="53"/>
      <c r="G42" s="110" t="s">
        <v>353</v>
      </c>
      <c r="H42" s="120">
        <v>0.6</v>
      </c>
      <c r="U42" s="86" t="s">
        <v>136</v>
      </c>
      <c r="V42" s="87" t="s">
        <v>164</v>
      </c>
      <c r="W42" s="87">
        <v>8.7187671</v>
      </c>
      <c r="X42" s="87">
        <f t="shared" si="0"/>
        <v>8.7187671</v>
      </c>
    </row>
    <row r="43" spans="6:24" ht="63.75">
      <c r="F43" s="53"/>
      <c r="G43" s="110" t="s">
        <v>354</v>
      </c>
      <c r="H43" s="120">
        <v>2</v>
      </c>
      <c r="U43" s="86" t="s">
        <v>137</v>
      </c>
      <c r="V43" s="87">
        <v>10.6562709</v>
      </c>
      <c r="W43" s="87" t="s">
        <v>164</v>
      </c>
      <c r="X43" s="87">
        <f t="shared" si="0"/>
        <v>10.6562709</v>
      </c>
    </row>
    <row r="44" spans="6:24" ht="63.75">
      <c r="F44" s="53"/>
      <c r="G44" s="110" t="s">
        <v>355</v>
      </c>
      <c r="H44" s="120">
        <v>1.8</v>
      </c>
      <c r="U44" s="86" t="s">
        <v>123</v>
      </c>
      <c r="V44" s="87" t="s">
        <v>164</v>
      </c>
      <c r="W44" s="87">
        <v>5.8125114</v>
      </c>
      <c r="X44" s="87">
        <f t="shared" si="0"/>
        <v>5.8125114</v>
      </c>
    </row>
    <row r="45" spans="6:24" ht="63.75">
      <c r="F45" s="53"/>
      <c r="G45" s="110" t="s">
        <v>356</v>
      </c>
      <c r="H45" s="120">
        <v>0.4</v>
      </c>
      <c r="U45" s="86" t="s">
        <v>118</v>
      </c>
      <c r="V45" s="87" t="s">
        <v>164</v>
      </c>
      <c r="W45" s="87">
        <v>3.8750075999999996</v>
      </c>
      <c r="X45" s="87">
        <f t="shared" si="0"/>
        <v>3.8750075999999996</v>
      </c>
    </row>
    <row r="46" spans="6:24" ht="25.5">
      <c r="F46" s="53"/>
      <c r="G46" s="110" t="s">
        <v>357</v>
      </c>
      <c r="H46" s="120">
        <v>0.6</v>
      </c>
      <c r="U46" s="86" t="s">
        <v>138</v>
      </c>
      <c r="V46" s="87" t="s">
        <v>164</v>
      </c>
      <c r="W46" s="87">
        <v>13.562526599999998</v>
      </c>
      <c r="X46" s="87">
        <f t="shared" si="0"/>
        <v>13.562526599999998</v>
      </c>
    </row>
    <row r="47" spans="6:24" ht="25.5">
      <c r="F47" s="53"/>
      <c r="G47" s="110" t="s">
        <v>358</v>
      </c>
      <c r="H47" s="120">
        <v>1.2</v>
      </c>
      <c r="U47" s="86" t="s">
        <v>135</v>
      </c>
      <c r="V47" s="87" t="s">
        <v>164</v>
      </c>
      <c r="W47" s="87">
        <v>8.7187671</v>
      </c>
      <c r="X47" s="87">
        <f t="shared" si="0"/>
        <v>8.7187671</v>
      </c>
    </row>
    <row r="48" spans="6:24" ht="25.5">
      <c r="F48" s="53"/>
      <c r="G48" s="110" t="s">
        <v>359</v>
      </c>
      <c r="H48" s="120">
        <v>0.6</v>
      </c>
      <c r="U48" s="86" t="s">
        <v>139</v>
      </c>
      <c r="V48" s="87">
        <v>9.687519</v>
      </c>
      <c r="W48" s="87" t="s">
        <v>164</v>
      </c>
      <c r="X48" s="87">
        <f t="shared" si="0"/>
        <v>9.687519</v>
      </c>
    </row>
    <row r="49" spans="21:24" ht="12.75">
      <c r="U49" s="86" t="s">
        <v>140</v>
      </c>
      <c r="V49" s="87" t="s">
        <v>164</v>
      </c>
      <c r="W49" s="87">
        <v>9.687519</v>
      </c>
      <c r="X49" s="87">
        <f t="shared" si="0"/>
        <v>9.687519</v>
      </c>
    </row>
    <row r="50" spans="21:24" ht="12.75">
      <c r="U50" s="86" t="s">
        <v>141</v>
      </c>
      <c r="V50" s="87" t="s">
        <v>164</v>
      </c>
      <c r="W50" s="87">
        <v>14.5312785</v>
      </c>
      <c r="X50" s="87">
        <f t="shared" si="0"/>
        <v>14.5312785</v>
      </c>
    </row>
    <row r="51" spans="21:24" ht="12.75">
      <c r="U51" s="86" t="s">
        <v>142</v>
      </c>
      <c r="V51" s="87" t="s">
        <v>164</v>
      </c>
      <c r="W51" s="87">
        <v>26.1563013</v>
      </c>
      <c r="X51" s="87">
        <f t="shared" si="0"/>
        <v>26.1563013</v>
      </c>
    </row>
    <row r="52" spans="21:24" ht="12.75">
      <c r="U52" s="86" t="s">
        <v>143</v>
      </c>
      <c r="V52" s="87" t="s">
        <v>164</v>
      </c>
      <c r="W52" s="87">
        <v>7.750015199999999</v>
      </c>
      <c r="X52" s="87">
        <f t="shared" si="0"/>
        <v>7.750015199999999</v>
      </c>
    </row>
    <row r="53" spans="21:24" ht="12.75">
      <c r="U53" s="86" t="s">
        <v>144</v>
      </c>
      <c r="V53" s="87" t="s">
        <v>164</v>
      </c>
      <c r="W53" s="87">
        <v>13.562526599999998</v>
      </c>
      <c r="X53" s="87">
        <f t="shared" si="0"/>
        <v>13.562526599999998</v>
      </c>
    </row>
    <row r="54" spans="21:24" ht="12.75">
      <c r="U54" s="86" t="s">
        <v>145</v>
      </c>
      <c r="V54" s="87" t="s">
        <v>164</v>
      </c>
      <c r="W54" s="87">
        <v>5.8125114</v>
      </c>
      <c r="X54" s="87">
        <f t="shared" si="0"/>
        <v>5.8125114</v>
      </c>
    </row>
    <row r="55" spans="21:24" ht="12.75">
      <c r="U55" s="86" t="s">
        <v>146</v>
      </c>
      <c r="V55" s="87" t="s">
        <v>164</v>
      </c>
      <c r="W55" s="87">
        <v>9.687519</v>
      </c>
      <c r="X55" s="87">
        <f t="shared" si="0"/>
        <v>9.687519</v>
      </c>
    </row>
    <row r="56" spans="21:24" ht="12.75">
      <c r="U56" s="86" t="s">
        <v>147</v>
      </c>
      <c r="V56" s="87" t="s">
        <v>164</v>
      </c>
      <c r="W56" s="87">
        <v>8.7187671</v>
      </c>
      <c r="X56" s="87">
        <f t="shared" si="0"/>
        <v>8.7187671</v>
      </c>
    </row>
    <row r="57" spans="21:24" ht="12.75">
      <c r="U57" s="86" t="s">
        <v>148</v>
      </c>
      <c r="V57" s="87" t="s">
        <v>164</v>
      </c>
      <c r="W57" s="87">
        <v>6.781263299999999</v>
      </c>
      <c r="X57" s="87">
        <f t="shared" si="0"/>
        <v>6.781263299999999</v>
      </c>
    </row>
    <row r="58" spans="21:24" ht="12.75">
      <c r="U58" s="86" t="s">
        <v>149</v>
      </c>
      <c r="V58" s="87" t="s">
        <v>164</v>
      </c>
      <c r="W58" s="87">
        <v>11.6250228</v>
      </c>
      <c r="X58" s="87">
        <f t="shared" si="0"/>
        <v>11.6250228</v>
      </c>
    </row>
    <row r="59" spans="21:24" ht="12.75">
      <c r="U59" s="86" t="s">
        <v>150</v>
      </c>
      <c r="V59" s="87" t="s">
        <v>164</v>
      </c>
      <c r="W59" s="87">
        <v>3.8750075999999996</v>
      </c>
      <c r="X59" s="87">
        <f t="shared" si="0"/>
        <v>3.8750075999999996</v>
      </c>
    </row>
    <row r="60" spans="21:24" ht="12.75">
      <c r="U60" s="86" t="s">
        <v>151</v>
      </c>
      <c r="V60" s="87" t="s">
        <v>164</v>
      </c>
      <c r="W60" s="87">
        <v>21.3125418</v>
      </c>
      <c r="X60" s="87">
        <f t="shared" si="0"/>
        <v>21.3125418</v>
      </c>
    </row>
    <row r="61" spans="21:24" ht="12.75">
      <c r="U61" s="86" t="s">
        <v>152</v>
      </c>
      <c r="V61" s="87" t="s">
        <v>164</v>
      </c>
      <c r="W61" s="87">
        <v>7.750015199999999</v>
      </c>
      <c r="X61" s="87">
        <f t="shared" si="0"/>
        <v>7.750015199999999</v>
      </c>
    </row>
    <row r="62" spans="21:24" ht="12.75">
      <c r="U62" s="86" t="s">
        <v>153</v>
      </c>
      <c r="V62" s="87" t="s">
        <v>164</v>
      </c>
      <c r="W62" s="87">
        <v>8.7187671</v>
      </c>
      <c r="X62" s="87">
        <f t="shared" si="0"/>
        <v>8.7187671</v>
      </c>
    </row>
    <row r="63" spans="21:24" ht="12.75">
      <c r="U63" s="86" t="s">
        <v>154</v>
      </c>
      <c r="V63" s="87" t="s">
        <v>164</v>
      </c>
      <c r="W63" s="87">
        <v>5.8125114</v>
      </c>
      <c r="X63" s="87">
        <f t="shared" si="0"/>
        <v>5.8125114</v>
      </c>
    </row>
    <row r="64" spans="21:24" ht="12.75">
      <c r="U64" s="86" t="s">
        <v>155</v>
      </c>
      <c r="V64" s="87">
        <v>9.687519</v>
      </c>
      <c r="W64" s="87" t="s">
        <v>164</v>
      </c>
      <c r="X64" s="87">
        <f t="shared" si="0"/>
        <v>9.687519</v>
      </c>
    </row>
    <row r="65" spans="21:24" ht="12.75">
      <c r="U65" s="86" t="s">
        <v>156</v>
      </c>
      <c r="V65" s="87" t="s">
        <v>164</v>
      </c>
      <c r="W65" s="87">
        <v>12.593774699999999</v>
      </c>
      <c r="X65" s="87">
        <f t="shared" si="0"/>
        <v>12.593774699999999</v>
      </c>
    </row>
    <row r="66" spans="21:24" ht="12.75">
      <c r="U66" s="86" t="s">
        <v>157</v>
      </c>
      <c r="V66" s="87" t="s">
        <v>164</v>
      </c>
      <c r="W66" s="87">
        <v>10.6562709</v>
      </c>
      <c r="X66" s="87">
        <f t="shared" si="0"/>
        <v>10.6562709</v>
      </c>
    </row>
    <row r="67" spans="21:24" ht="12.75">
      <c r="U67" s="86" t="s">
        <v>158</v>
      </c>
      <c r="V67" s="87" t="s">
        <v>164</v>
      </c>
      <c r="W67" s="87">
        <v>24.218797499999997</v>
      </c>
      <c r="X67" s="87">
        <f t="shared" si="0"/>
        <v>24.218797499999997</v>
      </c>
    </row>
    <row r="68" spans="21:24" ht="12.75">
      <c r="U68" s="86" t="s">
        <v>113</v>
      </c>
      <c r="V68" s="87" t="s">
        <v>164</v>
      </c>
      <c r="W68" s="87">
        <v>10.6562709</v>
      </c>
      <c r="X68" s="87">
        <f t="shared" si="0"/>
        <v>10.6562709</v>
      </c>
    </row>
    <row r="69" spans="21:24" ht="12.75">
      <c r="U69" s="86" t="s">
        <v>159</v>
      </c>
      <c r="V69" s="87">
        <v>12.593774699999999</v>
      </c>
      <c r="W69" s="87" t="s">
        <v>164</v>
      </c>
      <c r="X69" s="87">
        <f t="shared" si="0"/>
        <v>12.593774699999999</v>
      </c>
    </row>
    <row r="70" spans="21:24" ht="12.75">
      <c r="U70" s="86" t="s">
        <v>160</v>
      </c>
      <c r="V70" s="87" t="s">
        <v>164</v>
      </c>
      <c r="W70" s="87">
        <v>6.781263299999999</v>
      </c>
      <c r="X70" s="87">
        <f t="shared" si="0"/>
        <v>6.781263299999999</v>
      </c>
    </row>
    <row r="71" spans="21:24" ht="12.75">
      <c r="U71" s="86" t="s">
        <v>161</v>
      </c>
      <c r="V71" s="87" t="s">
        <v>164</v>
      </c>
      <c r="W71" s="87">
        <v>16.4687823</v>
      </c>
      <c r="X71" s="87">
        <f aca="true" t="shared" si="1" ref="X71:X134">IF(V71="",W71,V71)</f>
        <v>16.4687823</v>
      </c>
    </row>
    <row r="72" spans="21:24" ht="12.75">
      <c r="U72" s="86" t="s">
        <v>165</v>
      </c>
      <c r="V72" s="87" t="s">
        <v>164</v>
      </c>
      <c r="W72" s="87">
        <v>10.6562709</v>
      </c>
      <c r="X72" s="87">
        <f t="shared" si="1"/>
        <v>10.6562709</v>
      </c>
    </row>
    <row r="73" spans="21:24" ht="12.75">
      <c r="U73" s="86" t="s">
        <v>166</v>
      </c>
      <c r="V73" s="87" t="s">
        <v>164</v>
      </c>
      <c r="W73" s="87">
        <v>11.6250228</v>
      </c>
      <c r="X73" s="87">
        <f t="shared" si="1"/>
        <v>11.6250228</v>
      </c>
    </row>
    <row r="74" spans="21:24" ht="12.75">
      <c r="U74" s="86" t="s">
        <v>167</v>
      </c>
      <c r="V74" s="87">
        <v>12.593774699999999</v>
      </c>
      <c r="W74" s="87" t="s">
        <v>164</v>
      </c>
      <c r="X74" s="87">
        <f t="shared" si="1"/>
        <v>12.593774699999999</v>
      </c>
    </row>
    <row r="75" spans="21:24" ht="12.75">
      <c r="U75" s="86" t="s">
        <v>168</v>
      </c>
      <c r="V75" s="87">
        <v>9.687519</v>
      </c>
      <c r="W75" s="87" t="s">
        <v>164</v>
      </c>
      <c r="X75" s="87">
        <f t="shared" si="1"/>
        <v>9.687519</v>
      </c>
    </row>
    <row r="76" spans="21:24" ht="12.75">
      <c r="U76" s="86" t="s">
        <v>156</v>
      </c>
      <c r="V76" s="87" t="s">
        <v>164</v>
      </c>
      <c r="W76" s="87">
        <v>11.6250228</v>
      </c>
      <c r="X76" s="87">
        <f t="shared" si="1"/>
        <v>11.6250228</v>
      </c>
    </row>
    <row r="77" spans="21:24" ht="12.75">
      <c r="U77" s="86" t="s">
        <v>157</v>
      </c>
      <c r="V77" s="87" t="s">
        <v>164</v>
      </c>
      <c r="W77" s="87">
        <v>10.6562709</v>
      </c>
      <c r="X77" s="87">
        <f t="shared" si="1"/>
        <v>10.6562709</v>
      </c>
    </row>
    <row r="78" spans="21:24" ht="12.75">
      <c r="U78" s="86" t="s">
        <v>158</v>
      </c>
      <c r="V78" s="87" t="s">
        <v>164</v>
      </c>
      <c r="W78" s="87">
        <v>20.3437899</v>
      </c>
      <c r="X78" s="87">
        <f t="shared" si="1"/>
        <v>20.3437899</v>
      </c>
    </row>
    <row r="79" spans="21:24" ht="12.75">
      <c r="U79" s="86" t="s">
        <v>169</v>
      </c>
      <c r="V79" s="87">
        <v>11.6250228</v>
      </c>
      <c r="W79" s="87" t="s">
        <v>164</v>
      </c>
      <c r="X79" s="87">
        <f t="shared" si="1"/>
        <v>11.6250228</v>
      </c>
    </row>
    <row r="80" spans="21:24" ht="12.75">
      <c r="U80" s="86" t="s">
        <v>118</v>
      </c>
      <c r="V80" s="87" t="s">
        <v>164</v>
      </c>
      <c r="W80" s="87">
        <v>11.6250228</v>
      </c>
      <c r="X80" s="87">
        <f t="shared" si="1"/>
        <v>11.6250228</v>
      </c>
    </row>
    <row r="81" spans="21:24" ht="12.75">
      <c r="U81" s="86" t="s">
        <v>113</v>
      </c>
      <c r="V81" s="87" t="s">
        <v>164</v>
      </c>
      <c r="W81" s="87">
        <v>9.687519</v>
      </c>
      <c r="X81" s="87">
        <f t="shared" si="1"/>
        <v>9.687519</v>
      </c>
    </row>
    <row r="82" spans="21:24" ht="12.75">
      <c r="U82" s="86" t="s">
        <v>170</v>
      </c>
      <c r="V82" s="87">
        <v>6.781263299999999</v>
      </c>
      <c r="W82" s="87" t="s">
        <v>164</v>
      </c>
      <c r="X82" s="87">
        <f t="shared" si="1"/>
        <v>6.781263299999999</v>
      </c>
    </row>
    <row r="83" spans="21:24" ht="12.75">
      <c r="U83" s="86" t="s">
        <v>171</v>
      </c>
      <c r="V83" s="87">
        <v>10.6562709</v>
      </c>
      <c r="W83" s="87" t="s">
        <v>164</v>
      </c>
      <c r="X83" s="87">
        <f t="shared" si="1"/>
        <v>10.6562709</v>
      </c>
    </row>
    <row r="84" spans="21:24" ht="12.75">
      <c r="U84" s="86" t="s">
        <v>103</v>
      </c>
      <c r="V84" s="87" t="s">
        <v>164</v>
      </c>
      <c r="W84" s="87">
        <v>7.750015199999999</v>
      </c>
      <c r="X84" s="87">
        <f t="shared" si="1"/>
        <v>7.750015199999999</v>
      </c>
    </row>
    <row r="85" spans="21:24" ht="12.75">
      <c r="U85" s="86" t="s">
        <v>172</v>
      </c>
      <c r="V85" s="87" t="s">
        <v>164</v>
      </c>
      <c r="W85" s="87">
        <v>9.687519</v>
      </c>
      <c r="X85" s="87">
        <f t="shared" si="1"/>
        <v>9.687519</v>
      </c>
    </row>
    <row r="86" spans="21:24" ht="12.75">
      <c r="U86" s="86" t="s">
        <v>173</v>
      </c>
      <c r="V86" s="87" t="s">
        <v>164</v>
      </c>
      <c r="W86" s="87">
        <v>16.4687823</v>
      </c>
      <c r="X86" s="87">
        <f t="shared" si="1"/>
        <v>16.4687823</v>
      </c>
    </row>
    <row r="87" spans="21:24" ht="12.75">
      <c r="U87" s="86" t="s">
        <v>174</v>
      </c>
      <c r="V87" s="87">
        <v>8.7187671</v>
      </c>
      <c r="W87" s="87" t="s">
        <v>164</v>
      </c>
      <c r="X87" s="87">
        <f t="shared" si="1"/>
        <v>8.7187671</v>
      </c>
    </row>
    <row r="88" spans="21:24" ht="12.75">
      <c r="U88" s="86" t="s">
        <v>175</v>
      </c>
      <c r="V88" s="87" t="s">
        <v>164</v>
      </c>
      <c r="W88" s="87">
        <v>9.687519</v>
      </c>
      <c r="X88" s="87">
        <f t="shared" si="1"/>
        <v>9.687519</v>
      </c>
    </row>
    <row r="89" spans="21:24" ht="12.75">
      <c r="U89" s="86" t="s">
        <v>176</v>
      </c>
      <c r="V89" s="87" t="s">
        <v>164</v>
      </c>
      <c r="W89" s="87">
        <v>9.687519</v>
      </c>
      <c r="X89" s="87">
        <f t="shared" si="1"/>
        <v>9.687519</v>
      </c>
    </row>
    <row r="90" spans="21:24" ht="12.75">
      <c r="U90" s="86" t="s">
        <v>177</v>
      </c>
      <c r="V90" s="87">
        <v>2.9062557</v>
      </c>
      <c r="W90" s="87" t="s">
        <v>164</v>
      </c>
      <c r="X90" s="87">
        <f t="shared" si="1"/>
        <v>2.9062557</v>
      </c>
    </row>
    <row r="91" spans="21:24" ht="12.75">
      <c r="U91" s="86" t="s">
        <v>178</v>
      </c>
      <c r="V91" s="87">
        <v>9.687519</v>
      </c>
      <c r="W91" s="87" t="s">
        <v>164</v>
      </c>
      <c r="X91" s="87">
        <f t="shared" si="1"/>
        <v>9.687519</v>
      </c>
    </row>
    <row r="92" spans="21:24" ht="12.75">
      <c r="U92" s="86" t="s">
        <v>179</v>
      </c>
      <c r="V92" s="87">
        <v>15.500030399999998</v>
      </c>
      <c r="W92" s="87" t="s">
        <v>164</v>
      </c>
      <c r="X92" s="87">
        <f t="shared" si="1"/>
        <v>15.500030399999998</v>
      </c>
    </row>
    <row r="93" spans="21:24" ht="12.75">
      <c r="U93" s="86" t="s">
        <v>118</v>
      </c>
      <c r="V93" s="87" t="s">
        <v>164</v>
      </c>
      <c r="W93" s="87">
        <v>25.187549399999998</v>
      </c>
      <c r="X93" s="87">
        <f t="shared" si="1"/>
        <v>25.187549399999998</v>
      </c>
    </row>
    <row r="94" spans="21:24" ht="12.75">
      <c r="U94" s="86" t="s">
        <v>113</v>
      </c>
      <c r="V94" s="87" t="s">
        <v>164</v>
      </c>
      <c r="W94" s="87">
        <v>31.968812699999997</v>
      </c>
      <c r="X94" s="87">
        <f t="shared" si="1"/>
        <v>31.968812699999997</v>
      </c>
    </row>
    <row r="95" spans="21:24" ht="12.75">
      <c r="U95" s="86" t="s">
        <v>123</v>
      </c>
      <c r="V95" s="87" t="s">
        <v>164</v>
      </c>
      <c r="W95" s="87">
        <v>10.6562709</v>
      </c>
      <c r="X95" s="87">
        <f t="shared" si="1"/>
        <v>10.6562709</v>
      </c>
    </row>
    <row r="96" spans="21:24" ht="12.75">
      <c r="U96" s="86" t="s">
        <v>180</v>
      </c>
      <c r="V96" s="87">
        <v>9.687519</v>
      </c>
      <c r="W96" s="87" t="s">
        <v>164</v>
      </c>
      <c r="X96" s="87">
        <f t="shared" si="1"/>
        <v>9.687519</v>
      </c>
    </row>
    <row r="97" spans="21:24" ht="12.75">
      <c r="U97" s="86" t="s">
        <v>181</v>
      </c>
      <c r="V97" s="87">
        <v>7.750015199999999</v>
      </c>
      <c r="W97" s="87" t="s">
        <v>164</v>
      </c>
      <c r="X97" s="87">
        <f t="shared" si="1"/>
        <v>7.750015199999999</v>
      </c>
    </row>
    <row r="98" spans="21:24" ht="12.75">
      <c r="U98" s="86" t="s">
        <v>182</v>
      </c>
      <c r="V98" s="87" t="s">
        <v>164</v>
      </c>
      <c r="W98" s="87">
        <v>7.750015199999999</v>
      </c>
      <c r="X98" s="87">
        <f t="shared" si="1"/>
        <v>7.750015199999999</v>
      </c>
    </row>
    <row r="99" spans="21:24" ht="12.75">
      <c r="U99" s="86" t="s">
        <v>183</v>
      </c>
      <c r="V99" s="87" t="s">
        <v>164</v>
      </c>
      <c r="W99" s="87">
        <v>2.9062557</v>
      </c>
      <c r="X99" s="87">
        <f t="shared" si="1"/>
        <v>2.9062557</v>
      </c>
    </row>
    <row r="100" spans="21:24" ht="12.75">
      <c r="U100" s="86" t="s">
        <v>118</v>
      </c>
      <c r="V100" s="87" t="s">
        <v>164</v>
      </c>
      <c r="W100" s="87">
        <v>7.750015199999999</v>
      </c>
      <c r="X100" s="87">
        <f t="shared" si="1"/>
        <v>7.750015199999999</v>
      </c>
    </row>
    <row r="101" spans="21:24" ht="12.75">
      <c r="U101" s="86" t="s">
        <v>184</v>
      </c>
      <c r="V101" s="87" t="s">
        <v>164</v>
      </c>
      <c r="W101" s="87">
        <v>13.562526599999998</v>
      </c>
      <c r="X101" s="87">
        <f t="shared" si="1"/>
        <v>13.562526599999998</v>
      </c>
    </row>
    <row r="102" spans="21:24" ht="12.75">
      <c r="U102" s="86" t="s">
        <v>185</v>
      </c>
      <c r="V102" s="87">
        <v>10.6562709</v>
      </c>
      <c r="W102" s="87" t="s">
        <v>164</v>
      </c>
      <c r="X102" s="87">
        <f t="shared" si="1"/>
        <v>10.6562709</v>
      </c>
    </row>
    <row r="103" spans="21:24" ht="12.75">
      <c r="U103" s="86" t="s">
        <v>186</v>
      </c>
      <c r="V103" s="87" t="s">
        <v>164</v>
      </c>
      <c r="W103" s="87">
        <v>11.6250228</v>
      </c>
      <c r="X103" s="87">
        <f t="shared" si="1"/>
        <v>11.6250228</v>
      </c>
    </row>
    <row r="104" spans="21:24" ht="12.75">
      <c r="U104" s="86" t="s">
        <v>113</v>
      </c>
      <c r="V104" s="87" t="s">
        <v>164</v>
      </c>
      <c r="W104" s="87">
        <v>9.687519</v>
      </c>
      <c r="X104" s="87">
        <f t="shared" si="1"/>
        <v>9.687519</v>
      </c>
    </row>
    <row r="105" spans="21:24" ht="12.75">
      <c r="U105" s="86" t="s">
        <v>187</v>
      </c>
      <c r="V105" s="87">
        <v>12.593774699999999</v>
      </c>
      <c r="W105" s="87" t="s">
        <v>164</v>
      </c>
      <c r="X105" s="87">
        <f t="shared" si="1"/>
        <v>12.593774699999999</v>
      </c>
    </row>
    <row r="106" spans="21:24" ht="12.75">
      <c r="U106" s="86" t="s">
        <v>113</v>
      </c>
      <c r="V106" s="87" t="s">
        <v>164</v>
      </c>
      <c r="W106" s="87">
        <v>5.8125114</v>
      </c>
      <c r="X106" s="87">
        <f t="shared" si="1"/>
        <v>5.8125114</v>
      </c>
    </row>
    <row r="107" spans="21:24" ht="12.75">
      <c r="U107" s="86" t="s">
        <v>188</v>
      </c>
      <c r="V107" s="87" t="s">
        <v>164</v>
      </c>
      <c r="W107" s="87">
        <v>23.2500456</v>
      </c>
      <c r="X107" s="87">
        <f t="shared" si="1"/>
        <v>23.2500456</v>
      </c>
    </row>
    <row r="108" spans="21:24" ht="12.75">
      <c r="U108" s="86" t="s">
        <v>189</v>
      </c>
      <c r="V108" s="87">
        <v>12.593774699999999</v>
      </c>
      <c r="W108" s="87" t="s">
        <v>164</v>
      </c>
      <c r="X108" s="87">
        <f t="shared" si="1"/>
        <v>12.593774699999999</v>
      </c>
    </row>
    <row r="109" spans="21:24" ht="12.75">
      <c r="U109" s="86" t="s">
        <v>190</v>
      </c>
      <c r="V109" s="87" t="s">
        <v>164</v>
      </c>
      <c r="W109" s="87">
        <v>12.593774699999999</v>
      </c>
      <c r="X109" s="87">
        <f t="shared" si="1"/>
        <v>12.593774699999999</v>
      </c>
    </row>
    <row r="110" spans="21:24" ht="12.75">
      <c r="U110" s="86" t="s">
        <v>191</v>
      </c>
      <c r="V110" s="87" t="s">
        <v>164</v>
      </c>
      <c r="W110" s="87">
        <v>17.4375342</v>
      </c>
      <c r="X110" s="87">
        <f t="shared" si="1"/>
        <v>17.4375342</v>
      </c>
    </row>
    <row r="111" spans="21:24" ht="12.75">
      <c r="U111" s="86" t="s">
        <v>192</v>
      </c>
      <c r="V111" s="87" t="s">
        <v>164</v>
      </c>
      <c r="W111" s="87">
        <v>28.093805099999997</v>
      </c>
      <c r="X111" s="87">
        <f t="shared" si="1"/>
        <v>28.093805099999997</v>
      </c>
    </row>
    <row r="112" spans="21:24" ht="12.75">
      <c r="U112" s="86" t="s">
        <v>193</v>
      </c>
      <c r="V112" s="87" t="s">
        <v>164</v>
      </c>
      <c r="W112" s="87">
        <v>12.593774699999999</v>
      </c>
      <c r="X112" s="87">
        <f t="shared" si="1"/>
        <v>12.593774699999999</v>
      </c>
    </row>
    <row r="113" spans="21:24" ht="12.75">
      <c r="U113" s="86" t="s">
        <v>194</v>
      </c>
      <c r="V113" s="87" t="s">
        <v>164</v>
      </c>
      <c r="W113" s="87">
        <v>12.593774699999999</v>
      </c>
      <c r="X113" s="87">
        <f t="shared" si="1"/>
        <v>12.593774699999999</v>
      </c>
    </row>
    <row r="114" spans="21:24" ht="12.75">
      <c r="U114" s="86" t="s">
        <v>195</v>
      </c>
      <c r="V114" s="87" t="s">
        <v>164</v>
      </c>
      <c r="W114" s="87">
        <v>12.593774699999999</v>
      </c>
      <c r="X114" s="87">
        <f t="shared" si="1"/>
        <v>12.593774699999999</v>
      </c>
    </row>
    <row r="115" spans="21:24" ht="12.75">
      <c r="U115" s="86" t="s">
        <v>196</v>
      </c>
      <c r="V115" s="87" t="s">
        <v>164</v>
      </c>
      <c r="W115" s="87">
        <v>16.4687823</v>
      </c>
      <c r="X115" s="87">
        <f t="shared" si="1"/>
        <v>16.4687823</v>
      </c>
    </row>
    <row r="116" spans="21:24" ht="12.75">
      <c r="U116" s="86" t="s">
        <v>197</v>
      </c>
      <c r="V116" s="87">
        <v>15.500030399999998</v>
      </c>
      <c r="W116" s="87" t="s">
        <v>164</v>
      </c>
      <c r="X116" s="87">
        <f t="shared" si="1"/>
        <v>15.500030399999998</v>
      </c>
    </row>
    <row r="117" spans="21:24" ht="12.75">
      <c r="U117" s="86" t="s">
        <v>198</v>
      </c>
      <c r="V117" s="87">
        <v>12.593774699999999</v>
      </c>
      <c r="W117" s="87" t="s">
        <v>164</v>
      </c>
      <c r="X117" s="87">
        <f t="shared" si="1"/>
        <v>12.593774699999999</v>
      </c>
    </row>
    <row r="118" spans="21:24" ht="12.75">
      <c r="U118" s="86" t="s">
        <v>199</v>
      </c>
      <c r="V118" s="87">
        <v>11.6250228</v>
      </c>
      <c r="W118" s="87" t="s">
        <v>164</v>
      </c>
      <c r="X118" s="87">
        <f t="shared" si="1"/>
        <v>11.6250228</v>
      </c>
    </row>
    <row r="119" spans="21:24" ht="12.75">
      <c r="U119" s="86" t="s">
        <v>200</v>
      </c>
      <c r="V119" s="87" t="s">
        <v>164</v>
      </c>
      <c r="W119" s="87">
        <v>12.593774699999999</v>
      </c>
      <c r="X119" s="87">
        <f t="shared" si="1"/>
        <v>12.593774699999999</v>
      </c>
    </row>
    <row r="120" spans="21:24" ht="12.75">
      <c r="U120" s="86" t="s">
        <v>201</v>
      </c>
      <c r="V120" s="87" t="s">
        <v>164</v>
      </c>
      <c r="W120" s="87">
        <v>6.781263299999999</v>
      </c>
      <c r="X120" s="87">
        <f t="shared" si="1"/>
        <v>6.781263299999999</v>
      </c>
    </row>
    <row r="121" spans="21:24" ht="12.75">
      <c r="U121" s="86" t="s">
        <v>128</v>
      </c>
      <c r="V121" s="87" t="s">
        <v>164</v>
      </c>
      <c r="W121" s="87">
        <v>10.6562709</v>
      </c>
      <c r="X121" s="87">
        <f t="shared" si="1"/>
        <v>10.6562709</v>
      </c>
    </row>
    <row r="122" spans="21:24" ht="12.75">
      <c r="U122" s="86" t="s">
        <v>202</v>
      </c>
      <c r="V122" s="87" t="s">
        <v>164</v>
      </c>
      <c r="W122" s="87">
        <v>10.6562709</v>
      </c>
      <c r="X122" s="87">
        <f t="shared" si="1"/>
        <v>10.6562709</v>
      </c>
    </row>
    <row r="123" spans="21:24" ht="12.75">
      <c r="U123" s="86" t="s">
        <v>203</v>
      </c>
      <c r="V123" s="87" t="s">
        <v>164</v>
      </c>
      <c r="W123" s="87">
        <v>4.8437595</v>
      </c>
      <c r="X123" s="87">
        <f t="shared" si="1"/>
        <v>4.8437595</v>
      </c>
    </row>
    <row r="124" spans="21:24" ht="12.75">
      <c r="U124" s="86" t="s">
        <v>204</v>
      </c>
      <c r="V124" s="87" t="s">
        <v>164</v>
      </c>
      <c r="W124" s="87">
        <v>4.8437595</v>
      </c>
      <c r="X124" s="87">
        <f t="shared" si="1"/>
        <v>4.8437595</v>
      </c>
    </row>
    <row r="125" spans="21:24" ht="12.75">
      <c r="U125" s="86" t="s">
        <v>205</v>
      </c>
      <c r="V125" s="87" t="s">
        <v>164</v>
      </c>
      <c r="W125" s="87">
        <v>10.6562709</v>
      </c>
      <c r="X125" s="87">
        <f t="shared" si="1"/>
        <v>10.6562709</v>
      </c>
    </row>
    <row r="126" spans="21:24" ht="12.75">
      <c r="U126" s="86" t="s">
        <v>206</v>
      </c>
      <c r="V126" s="87">
        <v>10.6562709</v>
      </c>
      <c r="W126" s="87" t="s">
        <v>164</v>
      </c>
      <c r="X126" s="87">
        <f t="shared" si="1"/>
        <v>10.6562709</v>
      </c>
    </row>
    <row r="127" spans="21:24" ht="12.75">
      <c r="U127" s="86" t="s">
        <v>207</v>
      </c>
      <c r="V127" s="87">
        <v>9.687519</v>
      </c>
      <c r="W127" s="87" t="s">
        <v>164</v>
      </c>
      <c r="X127" s="87">
        <f t="shared" si="1"/>
        <v>9.687519</v>
      </c>
    </row>
    <row r="128" spans="21:24" ht="12.75">
      <c r="U128" s="86" t="s">
        <v>156</v>
      </c>
      <c r="V128" s="87" t="s">
        <v>164</v>
      </c>
      <c r="W128" s="87">
        <v>20.3437899</v>
      </c>
      <c r="X128" s="87">
        <f t="shared" si="1"/>
        <v>20.3437899</v>
      </c>
    </row>
    <row r="129" spans="21:24" ht="12.75">
      <c r="U129" s="86" t="s">
        <v>208</v>
      </c>
      <c r="V129" s="87" t="s">
        <v>164</v>
      </c>
      <c r="W129" s="87">
        <v>9.687519</v>
      </c>
      <c r="X129" s="87">
        <f t="shared" si="1"/>
        <v>9.687519</v>
      </c>
    </row>
    <row r="130" spans="21:24" ht="12.75">
      <c r="U130" s="86" t="s">
        <v>209</v>
      </c>
      <c r="V130" s="87" t="s">
        <v>164</v>
      </c>
      <c r="W130" s="87">
        <v>5.8125114</v>
      </c>
      <c r="X130" s="87">
        <f t="shared" si="1"/>
        <v>5.8125114</v>
      </c>
    </row>
    <row r="131" spans="21:24" ht="12.75">
      <c r="U131" s="86" t="s">
        <v>210</v>
      </c>
      <c r="V131" s="87" t="s">
        <v>164</v>
      </c>
      <c r="W131" s="87">
        <v>14.5312785</v>
      </c>
      <c r="X131" s="87">
        <f t="shared" si="1"/>
        <v>14.5312785</v>
      </c>
    </row>
    <row r="132" spans="21:24" ht="12.75">
      <c r="U132" s="86" t="s">
        <v>158</v>
      </c>
      <c r="V132" s="87" t="s">
        <v>164</v>
      </c>
      <c r="W132" s="87">
        <v>4.8437595</v>
      </c>
      <c r="X132" s="87">
        <f t="shared" si="1"/>
        <v>4.8437595</v>
      </c>
    </row>
    <row r="133" spans="21:24" ht="12.75">
      <c r="U133" s="86" t="s">
        <v>211</v>
      </c>
      <c r="V133" s="87">
        <v>10.6562709</v>
      </c>
      <c r="W133" s="87" t="s">
        <v>164</v>
      </c>
      <c r="X133" s="87">
        <f t="shared" si="1"/>
        <v>10.6562709</v>
      </c>
    </row>
    <row r="134" spans="21:24" ht="12.75">
      <c r="U134" s="86" t="s">
        <v>212</v>
      </c>
      <c r="V134" s="87">
        <v>5.8125114</v>
      </c>
      <c r="W134" s="87" t="s">
        <v>164</v>
      </c>
      <c r="X134" s="87">
        <f t="shared" si="1"/>
        <v>5.8125114</v>
      </c>
    </row>
    <row r="135" spans="21:24" ht="12.75">
      <c r="U135" s="86" t="s">
        <v>213</v>
      </c>
      <c r="V135" s="87" t="s">
        <v>164</v>
      </c>
      <c r="W135" s="87">
        <v>13.562526599999998</v>
      </c>
      <c r="X135" s="87">
        <f>IF(V135="",W135,V135)</f>
        <v>13.562526599999998</v>
      </c>
    </row>
    <row r="136" spans="21:24" ht="12.75">
      <c r="U136" s="86" t="s">
        <v>214</v>
      </c>
      <c r="V136" s="87" t="s">
        <v>164</v>
      </c>
      <c r="W136" s="87">
        <v>5.8125114</v>
      </c>
      <c r="X136" s="87">
        <f>IF(V136="",W136,V136)</f>
        <v>5.8125114</v>
      </c>
    </row>
    <row r="137" spans="21:24" ht="12.75">
      <c r="U137" s="86" t="s">
        <v>215</v>
      </c>
      <c r="V137" s="87">
        <v>13.562526599999998</v>
      </c>
      <c r="W137" s="87" t="s">
        <v>164</v>
      </c>
      <c r="X137" s="87">
        <f>IF(V137="",W137,V137)</f>
        <v>13.562526599999998</v>
      </c>
    </row>
  </sheetData>
  <sheetProtection/>
  <mergeCells count="20">
    <mergeCell ref="J26:K26"/>
    <mergeCell ref="G12:G15"/>
    <mergeCell ref="B29:C29"/>
    <mergeCell ref="B34:C34"/>
    <mergeCell ref="B5:D5"/>
    <mergeCell ref="B9:D9"/>
    <mergeCell ref="B14:D14"/>
    <mergeCell ref="B16:D16"/>
    <mergeCell ref="B19:D19"/>
    <mergeCell ref="B24:C24"/>
    <mergeCell ref="G35:H35"/>
    <mergeCell ref="G6:G10"/>
    <mergeCell ref="I5:J5"/>
    <mergeCell ref="G18:G21"/>
    <mergeCell ref="G28:G29"/>
    <mergeCell ref="I28:K28"/>
    <mergeCell ref="G30:G31"/>
    <mergeCell ref="I32:K32"/>
    <mergeCell ref="J24:K24"/>
    <mergeCell ref="J25:K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Buro Happold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Lindsey Malcolm</dc:creator>
  <cp:keywords/>
  <dc:description/>
  <cp:lastModifiedBy>Carlos Amaya</cp:lastModifiedBy>
  <cp:lastPrinted>2011-04-26T09:51:25Z</cp:lastPrinted>
  <dcterms:created xsi:type="dcterms:W3CDTF">2009-10-04T06:57:41Z</dcterms:created>
  <dcterms:modified xsi:type="dcterms:W3CDTF">2011-05-26T10:49:28Z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